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jboye\OneDrive\Documents\"/>
    </mc:Choice>
  </mc:AlternateContent>
  <xr:revisionPtr revIDLastSave="0" documentId="8_{B052A4E1-FEE6-438F-80E5-64184F36759B}" xr6:coauthVersionLast="46" xr6:coauthVersionMax="46" xr10:uidLastSave="{00000000-0000-0000-0000-000000000000}"/>
  <bookViews>
    <workbookView xWindow="-103" yWindow="-103" windowWidth="33120" windowHeight="18120" tabRatio="966" xr2:uid="{00000000-000D-0000-FFFF-FFFF00000000}"/>
  </bookViews>
  <sheets>
    <sheet name="2018_Application_Blank_180107" sheetId="1" r:id="rId1"/>
    <sheet name="Application_Example_Pulse600" sheetId="2" r:id="rId2"/>
    <sheet name="Main_Example_Pulse600_170112" sheetId="3" r:id="rId3"/>
    <sheet name="Jib_Example_Pulse600_170112" sheetId="4" r:id="rId4"/>
    <sheet name="Spin_Example_Pulse600" sheetId="5" r:id="rId5"/>
    <sheet name="Example_WtMeasured_170216" sheetId="7" r:id="rId6"/>
    <sheet name="Main_CF-24MkII_Class_2010" sheetId="6" r:id="rId7"/>
    <sheet name="Main_Example_Diam24_170218" sheetId="8" r:id="rId8"/>
    <sheet name="Jib_Example_North F31R" sheetId="9" r:id="rId9"/>
    <sheet name="Jib_Example_F31R_Headboard" sheetId="10" r:id="rId10"/>
    <sheet name="Mast_Circumference" sheetId="11" r:id="rId11"/>
    <sheet name="Main_Example_Texel" sheetId="12" r:id="rId12"/>
  </sheets>
  <externalReferences>
    <externalReference r:id="rId13"/>
    <externalReference r:id="rId14"/>
    <externalReference r:id="rId15"/>
  </externalReferences>
  <definedNames>
    <definedName name="_HTML_Control" localSheetId="0" hidden="1">{"'Div 5'!$A$1:$I$18"}</definedName>
    <definedName name="_HTML_Control" localSheetId="1" hidden="1">{"'Div 5'!$A$1:$I$18"}</definedName>
    <definedName name="_HTML_Control" localSheetId="5" hidden="1">{"'Div 5'!$A$1:$I$18"}</definedName>
    <definedName name="_HTML_Control" localSheetId="9" hidden="1">{"'Div 5'!$A$1:$I$18"}</definedName>
    <definedName name="_HTML_Control" localSheetId="8" hidden="1">{"'Div 5'!$A$1:$I$18"}</definedName>
    <definedName name="_HTML_Control" localSheetId="3" hidden="1">{"'Div 5'!$A$1:$I$18"}</definedName>
    <definedName name="_HTML_Control" localSheetId="6" hidden="1">{"'Div 5'!$A$1:$I$18"}</definedName>
    <definedName name="_HTML_Control" localSheetId="7" hidden="1">{"'Div 5'!$A$1:$I$18"}</definedName>
    <definedName name="_HTML_Control" localSheetId="2" hidden="1">{"'Div 5'!$A$1:$I$18"}</definedName>
    <definedName name="_HTML_Control" localSheetId="11" hidden="1">{"'Div 5'!$A$1:$I$18"}</definedName>
    <definedName name="_HTML_Control" localSheetId="10" hidden="1">{"'Div 5'!$A$1:$I$18"}</definedName>
    <definedName name="_HTML_Control" localSheetId="4" hidden="1">{"'Div 5'!$A$1:$I$18"}</definedName>
    <definedName name="_HTML_Control" hidden="1">{"'Div 5'!$A$1:$I$18"}</definedName>
    <definedName name="a_main">[1]Meetbrief!$B$32</definedName>
    <definedName name="area_mast">[2]calculator!$D$21</definedName>
    <definedName name="arg">[2]calculator!$H$23</definedName>
    <definedName name="arm">[2]calculator!$H$21</definedName>
    <definedName name="b_main">[1]Meetbrief!$B$33</definedName>
    <definedName name="beam">[2]calculator!$D$33</definedName>
    <definedName name="boattype">[3]Meetbrief!$B$22</definedName>
    <definedName name="c_main">[1]Meetbrief!$B$34</definedName>
    <definedName name="cat.corr">[2]calculator!$H$27</definedName>
    <definedName name="crew">[2]calculator!$H$13</definedName>
    <definedName name="draft">[2]calculator!$D$14</definedName>
    <definedName name="DynPress">[2]calculator!$H$40</definedName>
    <definedName name="e">[2]calculator!$D$22</definedName>
    <definedName name="e_main">[1]Meetbrief!$B$30</definedName>
    <definedName name="eg">[2]calculator!$H$24</definedName>
    <definedName name="em">[2]calculator!$H$22</definedName>
    <definedName name="heeling">[2]calculator!$H$32</definedName>
    <definedName name="HTML_CodePage" hidden="1">1252</definedName>
    <definedName name="HTML_Control" localSheetId="0" hidden="1">{"'Div 5'!$A$1:$I$18"}</definedName>
    <definedName name="HTML_Control" localSheetId="1" hidden="1">{"'Div 5'!$A$1:$I$18"}</definedName>
    <definedName name="HTML_Control" localSheetId="5" hidden="1">{"'Div 5'!$A$1:$I$18"}</definedName>
    <definedName name="HTML_Control" localSheetId="9" hidden="1">{"'Div 5'!$A$1:$I$18"}</definedName>
    <definedName name="HTML_Control" localSheetId="8" hidden="1">{"'Div 5'!$A$1:$I$18"}</definedName>
    <definedName name="HTML_Control" localSheetId="3" hidden="1">{"'Div 5'!$A$1:$I$18"}</definedName>
    <definedName name="HTML_Control" localSheetId="6" hidden="1">{"'Div 5'!$A$1:$I$18"}</definedName>
    <definedName name="HTML_Control" localSheetId="7" hidden="1">{"'Div 5'!$A$1:$I$18"}</definedName>
    <definedName name="HTML_Control" localSheetId="2" hidden="1">{"'Div 5'!$A$1:$I$18"}</definedName>
    <definedName name="HTML_Control" localSheetId="11" hidden="1">{"'Div 5'!$A$1:$I$18"}</definedName>
    <definedName name="HTML_Control" localSheetId="10" hidden="1">{"'Div 5'!$A$1:$I$18"}</definedName>
    <definedName name="HTML_Control" localSheetId="4" hidden="1">{"'Div 5'!$A$1:$I$18"}</definedName>
    <definedName name="HTML_Control" hidden="1">{"'Div 5'!$A$1:$I$18"}</definedName>
    <definedName name="HTML_Control2" localSheetId="0" hidden="1">{"'Divisions'!$B$1:$X$82"}</definedName>
    <definedName name="HTML_Control2" localSheetId="1" hidden="1">{"'Divisions'!$B$1:$X$82"}</definedName>
    <definedName name="HTML_Control2" localSheetId="5" hidden="1">{"'Divisions'!$B$1:$X$82"}</definedName>
    <definedName name="HTML_Control2" localSheetId="9" hidden="1">{"'Divisions'!$B$1:$X$82"}</definedName>
    <definedName name="HTML_Control2" localSheetId="8" hidden="1">{"'Divisions'!$B$1:$X$82"}</definedName>
    <definedName name="HTML_Control2" localSheetId="3" hidden="1">{"'Divisions'!$B$1:$X$82"}</definedName>
    <definedName name="HTML_Control2" localSheetId="6" hidden="1">{"'Divisions'!$B$1:$X$82"}</definedName>
    <definedName name="HTML_Control2" localSheetId="7" hidden="1">{"'Divisions'!$B$1:$X$82"}</definedName>
    <definedName name="HTML_Control2" localSheetId="2" hidden="1">{"'Divisions'!$B$1:$X$82"}</definedName>
    <definedName name="HTML_Control2" localSheetId="11" hidden="1">{"'Divisions'!$B$1:$X$82"}</definedName>
    <definedName name="HTML_Control2" localSheetId="10" hidden="1">{"'Divisions'!$B$1:$X$82"}</definedName>
    <definedName name="HTML_Control2" localSheetId="4" hidden="1">{"'Divisions'!$B$1:$X$82"}</definedName>
    <definedName name="HTML_Control2" hidden="1">{"'Divisions'!$B$1:$X$82"}</definedName>
    <definedName name="HTML_Description" hidden="1">"Results Overall"</definedName>
    <definedName name="HTML_Email" hidden="1">"slackwater_sf@hotmail.com"</definedName>
    <definedName name="HTML_Header" hidden="1">"Results Overall"</definedName>
    <definedName name="HTML_LastUpdate" hidden="1">"4/3/05"</definedName>
    <definedName name="HTML_LineAfter" hidden="1">FALSE</definedName>
    <definedName name="HTML_LineBefore" hidden="1">FALSE</definedName>
    <definedName name="HTML_Name" hidden="1">"Slackwater_SF"</definedName>
    <definedName name="HTML_OBDlg2" hidden="1">TRUE</definedName>
    <definedName name="HTML_OBDlg4" hidden="1">TRUE</definedName>
    <definedName name="HTML_OS" hidden="1">0</definedName>
    <definedName name="HTML_PathFile" hidden="1">"C:\My Documents\Boat\BAMA\2005_DHF\Div505.htm"</definedName>
    <definedName name="HTML_Title" hidden="1">"Entrants05"</definedName>
    <definedName name="keel">[2]calculator!$H$30</definedName>
    <definedName name="lpg">[2]calculator!$D$24</definedName>
    <definedName name="msag">[2]calculator!$D$23</definedName>
    <definedName name="msam">[2]calculator!$D$19</definedName>
    <definedName name="msas">[2]calculator!$D$26</definedName>
    <definedName name="msascr">[2]calculator!$D$27</definedName>
    <definedName name="None" localSheetId="0" hidden="1">{"'Divisions'!$B$1:$X$82"}</definedName>
    <definedName name="None" localSheetId="1" hidden="1">{"'Divisions'!$B$1:$X$82"}</definedName>
    <definedName name="None" localSheetId="5" hidden="1">{"'Divisions'!$B$1:$X$82"}</definedName>
    <definedName name="None" localSheetId="9" hidden="1">{"'Divisions'!$B$1:$X$82"}</definedName>
    <definedName name="None" localSheetId="8" hidden="1">{"'Divisions'!$B$1:$X$82"}</definedName>
    <definedName name="None" localSheetId="3" hidden="1">{"'Divisions'!$B$1:$X$82"}</definedName>
    <definedName name="None" localSheetId="6" hidden="1">{"'Divisions'!$B$1:$X$82"}</definedName>
    <definedName name="None" localSheetId="7" hidden="1">{"'Divisions'!$B$1:$X$82"}</definedName>
    <definedName name="None" localSheetId="2" hidden="1">{"'Divisions'!$B$1:$X$82"}</definedName>
    <definedName name="None" localSheetId="11" hidden="1">{"'Divisions'!$B$1:$X$82"}</definedName>
    <definedName name="None" localSheetId="10" hidden="1">{"'Divisions'!$B$1:$X$82"}</definedName>
    <definedName name="None" localSheetId="4" hidden="1">{"'Divisions'!$B$1:$X$82"}</definedName>
    <definedName name="None" hidden="1">{"'Divisions'!$B$1:$X$82"}</definedName>
    <definedName name="_xlnm.Print_Area" localSheetId="0">'2018_Application_Blank_180107'!$A$1:$I$70</definedName>
    <definedName name="_xlnm.Print_Area" localSheetId="1">Application_Example_Pulse600!$A$1:$I$70</definedName>
    <definedName name="_xlnm.Print_Area" localSheetId="5">Example_WtMeasured_170216!$A$1:$H$83</definedName>
    <definedName name="_xlnm.Print_Area" localSheetId="8">'Jib_Example_North F31R'!$A$1:$O$47</definedName>
    <definedName name="_xlnm.Print_Area" localSheetId="3">Jib_Example_Pulse600_170112!$A$1:$P$57</definedName>
    <definedName name="_xlnm.Print_Area" localSheetId="6">'Main_CF-24MkII_Class_2010'!$A$1:$P$76</definedName>
    <definedName name="_xlnm.Print_Area" localSheetId="7">Main_Example_Diam24_170218!$A$1:$P$70</definedName>
    <definedName name="_xlnm.Print_Area" localSheetId="2">Main_Example_Pulse600_170112!$A$1:$R$78</definedName>
    <definedName name="_xlnm.Print_Area" localSheetId="11">Main_Example_Texel!$A$2:$H$35</definedName>
    <definedName name="_xlnm.Print_Area" localSheetId="10">Mast_Circumference!$B$1:$F$42</definedName>
    <definedName name="_xlnm.Print_Area" localSheetId="4">Spin_Example_Pulse600!$A$1:$M$52</definedName>
    <definedName name="prop">[2]calculator!$D$15</definedName>
    <definedName name="rated_weight">[2]calculator!$H$14</definedName>
    <definedName name="righting">[2]calculator!$H$33</definedName>
    <definedName name="rl">[2]calculator!$D$18</definedName>
    <definedName name="rsa">[2]calculator!$H$20</definedName>
    <definedName name="rsag">[2]calculator!$H$16</definedName>
    <definedName name="rsam">[2]calculator!$H$15</definedName>
    <definedName name="rsas">[2]calculator!$H$18</definedName>
    <definedName name="rsascr">[2]calculator!$H$19</definedName>
    <definedName name="rw">[2]calculator!$H$14</definedName>
    <definedName name="sfscr">[2]calculator!$D$29</definedName>
    <definedName name="smgscr">[2]calculator!$D$28</definedName>
    <definedName name="top">[1]Meetbrief!$B$31</definedName>
    <definedName name="tri">[2]calculator!$D$16</definedName>
    <definedName name="vlg">[2]calculator!$D$25</definedName>
    <definedName name="vlm">[2]calculator!$D$20</definedName>
    <definedName name="vt">[2]calculator!$D$34</definedName>
    <definedName name="width">[2]calculator!$D$32</definedName>
    <definedName name="windcoeff">[2]calculator!$H$39</definedName>
    <definedName name="wm">[2]calculator!$D$13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 l="1"/>
  <c r="E41" i="1"/>
  <c r="H70" i="1"/>
  <c r="C34" i="12"/>
  <c r="C31" i="12"/>
  <c r="C28" i="12"/>
  <c r="C25" i="12"/>
  <c r="C22" i="12"/>
  <c r="C19" i="12"/>
  <c r="C16" i="12"/>
  <c r="C13" i="12"/>
  <c r="C11" i="12"/>
  <c r="G29" i="10"/>
  <c r="F29" i="10" s="1"/>
  <c r="I28" i="10"/>
  <c r="J27" i="10"/>
  <c r="F23" i="10"/>
  <c r="F22" i="10"/>
  <c r="G21" i="10"/>
  <c r="F21" i="10"/>
  <c r="A21" i="10"/>
  <c r="G20" i="10"/>
  <c r="F20" i="10" s="1"/>
  <c r="F13" i="10"/>
  <c r="J11" i="10"/>
  <c r="G8" i="10"/>
  <c r="F8" i="10"/>
  <c r="F7" i="10"/>
  <c r="G7" i="10" s="1"/>
  <c r="J6" i="10"/>
  <c r="F6" i="10"/>
  <c r="G6" i="10" s="1"/>
  <c r="C38" i="9"/>
  <c r="B37" i="9"/>
  <c r="B40" i="9" s="1"/>
  <c r="B41" i="9" s="1"/>
  <c r="B42" i="9" s="1"/>
  <c r="C34" i="9"/>
  <c r="C30" i="9"/>
  <c r="J29" i="9"/>
  <c r="C29" i="9"/>
  <c r="J28" i="9"/>
  <c r="H28" i="9"/>
  <c r="J27" i="9"/>
  <c r="H27" i="9"/>
  <c r="C27" i="9"/>
  <c r="B27" i="9"/>
  <c r="J26" i="9"/>
  <c r="H26" i="9"/>
  <c r="D26" i="9"/>
  <c r="J25" i="9"/>
  <c r="H25" i="9"/>
  <c r="D25" i="9"/>
  <c r="B24" i="9"/>
  <c r="B23" i="9"/>
  <c r="C23" i="9" s="1"/>
  <c r="B22" i="9"/>
  <c r="F38" i="9" s="1"/>
  <c r="B17" i="9"/>
  <c r="B16" i="9"/>
  <c r="B15" i="9"/>
  <c r="B14" i="9"/>
  <c r="B13" i="9"/>
  <c r="B12" i="9"/>
  <c r="B11" i="9"/>
  <c r="B10" i="9"/>
  <c r="B9" i="9"/>
  <c r="C8" i="9"/>
  <c r="B69" i="8"/>
  <c r="E56" i="8"/>
  <c r="C56" i="8"/>
  <c r="B52" i="8"/>
  <c r="B50" i="8" s="1"/>
  <c r="C50" i="8" s="1"/>
  <c r="B51" i="8"/>
  <c r="C48" i="8"/>
  <c r="B47" i="8"/>
  <c r="I43" i="8"/>
  <c r="G43" i="8"/>
  <c r="B43" i="8"/>
  <c r="E43" i="8" s="1"/>
  <c r="B42" i="8"/>
  <c r="E42" i="8" s="1"/>
  <c r="I41" i="8"/>
  <c r="G41" i="8"/>
  <c r="B41" i="8"/>
  <c r="E41" i="8" s="1"/>
  <c r="I40" i="8"/>
  <c r="G40" i="8"/>
  <c r="B40" i="8"/>
  <c r="E40" i="8" s="1"/>
  <c r="E39" i="8"/>
  <c r="B39" i="8"/>
  <c r="C25" i="8"/>
  <c r="J24" i="8"/>
  <c r="C24" i="8"/>
  <c r="J23" i="8"/>
  <c r="C23" i="8"/>
  <c r="C22" i="8"/>
  <c r="J21" i="8"/>
  <c r="C21" i="8"/>
  <c r="E19" i="8"/>
  <c r="C19" i="8"/>
  <c r="I18" i="8"/>
  <c r="E18" i="8"/>
  <c r="C18" i="8"/>
  <c r="C17" i="8"/>
  <c r="C69" i="8" s="1"/>
  <c r="B56" i="7"/>
  <c r="B51" i="7"/>
  <c r="I44" i="7"/>
  <c r="H44" i="7"/>
  <c r="I8" i="7"/>
  <c r="I7" i="7"/>
  <c r="I6" i="7"/>
  <c r="D3" i="7"/>
  <c r="D4" i="7" s="1"/>
  <c r="D46" i="7" s="1"/>
  <c r="D44" i="7" s="1"/>
  <c r="B68" i="6"/>
  <c r="B55" i="6"/>
  <c r="C55" i="6" s="1"/>
  <c r="B52" i="6"/>
  <c r="B53" i="6" s="1"/>
  <c r="B51" i="6" s="1"/>
  <c r="C49" i="6"/>
  <c r="B48" i="6"/>
  <c r="I44" i="6"/>
  <c r="G44" i="6"/>
  <c r="B44" i="6"/>
  <c r="E44" i="6" s="1"/>
  <c r="B43" i="6"/>
  <c r="E43" i="6" s="1"/>
  <c r="I42" i="6"/>
  <c r="G42" i="6"/>
  <c r="B42" i="6"/>
  <c r="E42" i="6" s="1"/>
  <c r="I41" i="6"/>
  <c r="G41" i="6"/>
  <c r="B41" i="6"/>
  <c r="E41" i="6" s="1"/>
  <c r="B40" i="6"/>
  <c r="E40" i="6" s="1"/>
  <c r="C25" i="6"/>
  <c r="C24" i="6"/>
  <c r="C23" i="6"/>
  <c r="C22" i="6"/>
  <c r="C21" i="6"/>
  <c r="E19" i="6"/>
  <c r="C19" i="6"/>
  <c r="I18" i="6"/>
  <c r="E18" i="6"/>
  <c r="C18" i="6"/>
  <c r="C17" i="6"/>
  <c r="C68" i="6" s="1"/>
  <c r="B35" i="5"/>
  <c r="B31" i="5"/>
  <c r="C31" i="5" s="1"/>
  <c r="B30" i="5"/>
  <c r="C30" i="5" s="1"/>
  <c r="C29" i="5"/>
  <c r="B29" i="5"/>
  <c r="G28" i="5"/>
  <c r="B28" i="5"/>
  <c r="C28" i="5" s="1"/>
  <c r="G27" i="5"/>
  <c r="G26" i="5"/>
  <c r="B22" i="5"/>
  <c r="D20" i="5"/>
  <c r="C20" i="5"/>
  <c r="D19" i="5"/>
  <c r="C19" i="5"/>
  <c r="D18" i="5"/>
  <c r="C18" i="5"/>
  <c r="D17" i="5"/>
  <c r="C17" i="5"/>
  <c r="B16" i="5"/>
  <c r="B46" i="4"/>
  <c r="C46" i="4" s="1"/>
  <c r="B45" i="4"/>
  <c r="B44" i="4"/>
  <c r="C44" i="4" s="1"/>
  <c r="B38" i="4"/>
  <c r="F38" i="4" s="1"/>
  <c r="B37" i="4"/>
  <c r="F37" i="4" s="1"/>
  <c r="B36" i="4"/>
  <c r="B35" i="4"/>
  <c r="C35" i="4" s="1"/>
  <c r="C34" i="4"/>
  <c r="B34" i="4"/>
  <c r="B32" i="4"/>
  <c r="B30" i="4"/>
  <c r="F35" i="4" s="1"/>
  <c r="F26" i="4"/>
  <c r="C26" i="4"/>
  <c r="J23" i="4"/>
  <c r="G23" i="4"/>
  <c r="F23" i="4"/>
  <c r="C23" i="4"/>
  <c r="J22" i="4"/>
  <c r="F22" i="4"/>
  <c r="C22" i="4"/>
  <c r="F21" i="4"/>
  <c r="C21" i="4"/>
  <c r="B20" i="4"/>
  <c r="F20" i="4" s="1"/>
  <c r="F19" i="4"/>
  <c r="C19" i="4"/>
  <c r="B18" i="4"/>
  <c r="C18" i="4" s="1"/>
  <c r="F16" i="4"/>
  <c r="C16" i="4"/>
  <c r="F15" i="4"/>
  <c r="C15" i="4"/>
  <c r="J14" i="4"/>
  <c r="C14" i="4"/>
  <c r="B70" i="3"/>
  <c r="C57" i="3"/>
  <c r="E52" i="3"/>
  <c r="E53" i="3" s="1"/>
  <c r="E51" i="3" s="1"/>
  <c r="E50" i="3" s="1"/>
  <c r="B52" i="3"/>
  <c r="B53" i="3" s="1"/>
  <c r="B51" i="3" s="1"/>
  <c r="F49" i="3"/>
  <c r="C49" i="3"/>
  <c r="E48" i="3"/>
  <c r="B48" i="3"/>
  <c r="K44" i="3"/>
  <c r="I44" i="3"/>
  <c r="E44" i="3"/>
  <c r="B44" i="3"/>
  <c r="G44" i="3" s="1"/>
  <c r="E43" i="3"/>
  <c r="B43" i="3"/>
  <c r="G43" i="3" s="1"/>
  <c r="K42" i="3"/>
  <c r="I42" i="3"/>
  <c r="E42" i="3"/>
  <c r="B42" i="3"/>
  <c r="G42" i="3" s="1"/>
  <c r="K41" i="3"/>
  <c r="I41" i="3"/>
  <c r="E41" i="3"/>
  <c r="B41" i="3"/>
  <c r="G41" i="3" s="1"/>
  <c r="E40" i="3"/>
  <c r="B40" i="3"/>
  <c r="G40" i="3" s="1"/>
  <c r="F38" i="3"/>
  <c r="F26" i="3"/>
  <c r="C26" i="3"/>
  <c r="L25" i="3"/>
  <c r="F25" i="3"/>
  <c r="C25" i="3"/>
  <c r="L24" i="3"/>
  <c r="F24" i="3"/>
  <c r="C24" i="3"/>
  <c r="F23" i="3"/>
  <c r="C23" i="3"/>
  <c r="L22" i="3"/>
  <c r="F22" i="3"/>
  <c r="C22" i="3"/>
  <c r="G20" i="3"/>
  <c r="F20" i="3"/>
  <c r="C20" i="3"/>
  <c r="K19" i="3"/>
  <c r="G19" i="3"/>
  <c r="F19" i="3"/>
  <c r="C19" i="3"/>
  <c r="F18" i="3"/>
  <c r="C18" i="3"/>
  <c r="H70" i="2"/>
  <c r="C59" i="2"/>
  <c r="C58" i="2"/>
  <c r="C57" i="2"/>
  <c r="C56" i="2"/>
  <c r="C54" i="2"/>
  <c r="E50" i="2"/>
  <c r="E40" i="2" s="1"/>
  <c r="F49" i="2"/>
  <c r="B49" i="2"/>
  <c r="F48" i="2"/>
  <c r="I47" i="2"/>
  <c r="F47" i="2"/>
  <c r="I46" i="2"/>
  <c r="F46" i="2"/>
  <c r="C46" i="2"/>
  <c r="H45" i="2"/>
  <c r="H49" i="2" s="1"/>
  <c r="I49" i="2" s="1"/>
  <c r="F45" i="2"/>
  <c r="C45" i="2"/>
  <c r="F44" i="2"/>
  <c r="C44" i="2"/>
  <c r="J43" i="2"/>
  <c r="J44" i="2" s="1"/>
  <c r="J40" i="2" s="1"/>
  <c r="F43" i="2"/>
  <c r="C43" i="2"/>
  <c r="J42" i="2"/>
  <c r="F42" i="2"/>
  <c r="B42" i="2"/>
  <c r="J41" i="2"/>
  <c r="I41" i="2"/>
  <c r="F41" i="2"/>
  <c r="I38" i="2"/>
  <c r="F38" i="2"/>
  <c r="C38" i="2"/>
  <c r="I37" i="2"/>
  <c r="F37" i="2"/>
  <c r="C37" i="2"/>
  <c r="I36" i="2"/>
  <c r="F36" i="2"/>
  <c r="C36" i="2"/>
  <c r="E35" i="2"/>
  <c r="F35" i="2" s="1"/>
  <c r="C35" i="2"/>
  <c r="H34" i="2"/>
  <c r="F34" i="2"/>
  <c r="C34" i="2"/>
  <c r="H33" i="2"/>
  <c r="H32" i="2" s="1"/>
  <c r="I32" i="2" s="1"/>
  <c r="E33" i="2"/>
  <c r="F33" i="2" s="1"/>
  <c r="C33" i="2"/>
  <c r="E32" i="2"/>
  <c r="F32" i="2" s="1"/>
  <c r="C32" i="2"/>
  <c r="J31" i="2"/>
  <c r="I31" i="2"/>
  <c r="F31" i="2"/>
  <c r="C31" i="2"/>
  <c r="J30" i="2"/>
  <c r="I30" i="2"/>
  <c r="F30" i="2"/>
  <c r="C30" i="2"/>
  <c r="J29" i="2"/>
  <c r="J32" i="2" s="1"/>
  <c r="J28" i="2" s="1"/>
  <c r="J34" i="2" s="1"/>
  <c r="I29" i="2"/>
  <c r="F29" i="2"/>
  <c r="B29" i="2"/>
  <c r="C28" i="2"/>
  <c r="I58" i="1"/>
  <c r="C57" i="1"/>
  <c r="C56" i="1"/>
  <c r="C54" i="1"/>
  <c r="E49" i="1"/>
  <c r="F49" i="1" s="1"/>
  <c r="B49" i="1"/>
  <c r="F48" i="1"/>
  <c r="F47" i="1"/>
  <c r="E46" i="1"/>
  <c r="F46" i="1" s="1"/>
  <c r="C46" i="1"/>
  <c r="I45" i="1"/>
  <c r="H45" i="1"/>
  <c r="H49" i="1" s="1"/>
  <c r="I49" i="1" s="1"/>
  <c r="C45" i="1"/>
  <c r="E44" i="1"/>
  <c r="J42" i="1" s="1"/>
  <c r="C44" i="1"/>
  <c r="E43" i="1"/>
  <c r="F43" i="1" s="1"/>
  <c r="C43" i="1"/>
  <c r="E42" i="1"/>
  <c r="B42" i="1"/>
  <c r="J41" i="1"/>
  <c r="I41" i="1"/>
  <c r="I38" i="1"/>
  <c r="F38" i="1"/>
  <c r="C38" i="1"/>
  <c r="J37" i="1"/>
  <c r="I37" i="1"/>
  <c r="F37" i="1"/>
  <c r="C37" i="1"/>
  <c r="I36" i="1"/>
  <c r="F36" i="1"/>
  <c r="C36" i="1"/>
  <c r="I35" i="1"/>
  <c r="F35" i="1"/>
  <c r="C35" i="1"/>
  <c r="I34" i="1"/>
  <c r="F34" i="1"/>
  <c r="C34" i="1"/>
  <c r="I33" i="1"/>
  <c r="F33" i="1"/>
  <c r="C33" i="1"/>
  <c r="I32" i="1"/>
  <c r="F32" i="1"/>
  <c r="C32" i="1"/>
  <c r="J31" i="1"/>
  <c r="I31" i="1"/>
  <c r="F31" i="1"/>
  <c r="C31" i="1"/>
  <c r="J30" i="1"/>
  <c r="I30" i="1"/>
  <c r="F30" i="1"/>
  <c r="F42" i="1" s="1"/>
  <c r="C30" i="1"/>
  <c r="J29" i="1"/>
  <c r="I29" i="1"/>
  <c r="F29" i="1"/>
  <c r="B29" i="1"/>
  <c r="H28" i="1"/>
  <c r="E28" i="1"/>
  <c r="C28" i="1"/>
  <c r="C27" i="5" l="1"/>
  <c r="C36" i="5" s="1"/>
  <c r="C8" i="12"/>
  <c r="D8" i="12" s="1"/>
  <c r="C37" i="4"/>
  <c r="F28" i="1"/>
  <c r="F28" i="2"/>
  <c r="F34" i="4"/>
  <c r="I28" i="1"/>
  <c r="F45" i="4"/>
  <c r="C16" i="5"/>
  <c r="C4" i="5" s="1"/>
  <c r="B27" i="5"/>
  <c r="B36" i="5" s="1"/>
  <c r="J32" i="1"/>
  <c r="J28" i="1" s="1"/>
  <c r="J34" i="1" s="1"/>
  <c r="E28" i="2"/>
  <c r="C42" i="2"/>
  <c r="C70" i="3"/>
  <c r="F18" i="4"/>
  <c r="C45" i="4"/>
  <c r="C22" i="9"/>
  <c r="H7" i="10"/>
  <c r="F27" i="9"/>
  <c r="F24" i="9"/>
  <c r="B47" i="4"/>
  <c r="B48" i="4" s="1"/>
  <c r="B49" i="4" s="1"/>
  <c r="C42" i="1"/>
  <c r="C20" i="4"/>
  <c r="C38" i="4"/>
  <c r="C30" i="4"/>
  <c r="C29" i="1"/>
  <c r="C35" i="5"/>
  <c r="B28" i="9"/>
  <c r="F28" i="9" s="1"/>
  <c r="B8" i="9"/>
  <c r="F50" i="3"/>
  <c r="E47" i="3"/>
  <c r="E46" i="3" s="1"/>
  <c r="E39" i="3"/>
  <c r="F49" i="4"/>
  <c r="B31" i="4"/>
  <c r="B43" i="4"/>
  <c r="E45" i="1"/>
  <c r="J46" i="2"/>
  <c r="L45" i="2"/>
  <c r="F36" i="4"/>
  <c r="C36" i="4"/>
  <c r="F44" i="1"/>
  <c r="J37" i="2"/>
  <c r="H35" i="2"/>
  <c r="F50" i="2"/>
  <c r="F40" i="2" s="1"/>
  <c r="I45" i="2"/>
  <c r="C51" i="3"/>
  <c r="B50" i="3"/>
  <c r="C51" i="6"/>
  <c r="B50" i="6"/>
  <c r="F28" i="10"/>
  <c r="G28" i="10" s="1"/>
  <c r="F26" i="10"/>
  <c r="F24" i="10"/>
  <c r="G24" i="10" s="1"/>
  <c r="A20" i="10"/>
  <c r="F27" i="10"/>
  <c r="F25" i="10"/>
  <c r="G25" i="10" s="1"/>
  <c r="H23" i="10"/>
  <c r="H29" i="10"/>
  <c r="J43" i="1"/>
  <c r="J44" i="1" s="1"/>
  <c r="J40" i="1" s="1"/>
  <c r="I33" i="2"/>
  <c r="I34" i="2"/>
  <c r="C29" i="2"/>
  <c r="F32" i="4"/>
  <c r="C32" i="4"/>
  <c r="B33" i="4"/>
  <c r="B39" i="4" s="1"/>
  <c r="C47" i="4"/>
  <c r="C48" i="4" s="1"/>
  <c r="C49" i="4" s="1"/>
  <c r="C43" i="4"/>
  <c r="B45" i="9"/>
  <c r="G12" i="10"/>
  <c r="F12" i="10" s="1"/>
  <c r="G10" i="10"/>
  <c r="F10" i="10" s="1"/>
  <c r="H13" i="10"/>
  <c r="G11" i="10"/>
  <c r="F11" i="10" s="1"/>
  <c r="G9" i="10"/>
  <c r="F9" i="10" s="1"/>
  <c r="H8" i="10"/>
  <c r="F23" i="9"/>
  <c r="B36" i="9"/>
  <c r="B47" i="9" s="1"/>
  <c r="A35" i="10"/>
  <c r="B33" i="5"/>
  <c r="B49" i="8"/>
  <c r="C24" i="9"/>
  <c r="B26" i="9"/>
  <c r="C28" i="9"/>
  <c r="F30" i="9"/>
  <c r="B17" i="4"/>
  <c r="F29" i="9"/>
  <c r="L28" i="1" l="1"/>
  <c r="B25" i="9"/>
  <c r="B21" i="9" s="1"/>
  <c r="B46" i="9" s="1"/>
  <c r="E45" i="3"/>
  <c r="E55" i="3" s="1"/>
  <c r="E56" i="3" s="1"/>
  <c r="A23" i="10"/>
  <c r="L40" i="1"/>
  <c r="J46" i="1"/>
  <c r="B13" i="4"/>
  <c r="B2" i="4" s="1"/>
  <c r="C17" i="4"/>
  <c r="C13" i="4" s="1"/>
  <c r="F17" i="4"/>
  <c r="F25" i="9"/>
  <c r="E50" i="6"/>
  <c r="C50" i="6"/>
  <c r="B39" i="6"/>
  <c r="B47" i="6"/>
  <c r="I35" i="2"/>
  <c r="I28" i="2" s="1"/>
  <c r="H28" i="2"/>
  <c r="F45" i="1"/>
  <c r="F50" i="1" s="1"/>
  <c r="F40" i="1" s="1"/>
  <c r="E50" i="1"/>
  <c r="C49" i="8"/>
  <c r="B46" i="8"/>
  <c r="B38" i="8"/>
  <c r="E49" i="8"/>
  <c r="B44" i="8"/>
  <c r="B54" i="8" s="1"/>
  <c r="G27" i="10"/>
  <c r="A24" i="10"/>
  <c r="G26" i="10"/>
  <c r="A22" i="10"/>
  <c r="C31" i="4"/>
  <c r="F31" i="4"/>
  <c r="B29" i="4"/>
  <c r="C26" i="9"/>
  <c r="F26" i="9"/>
  <c r="F33" i="4"/>
  <c r="C33" i="4"/>
  <c r="C39" i="4" s="1"/>
  <c r="G50" i="3"/>
  <c r="B39" i="3"/>
  <c r="C50" i="3"/>
  <c r="B47" i="3"/>
  <c r="B45" i="3" s="1"/>
  <c r="B55" i="3" s="1"/>
  <c r="E54" i="3"/>
  <c r="F54" i="3" s="1"/>
  <c r="E38" i="3"/>
  <c r="E40" i="1"/>
  <c r="A31" i="10" l="1"/>
  <c r="C25" i="9"/>
  <c r="C21" i="9"/>
  <c r="A34" i="10"/>
  <c r="A32" i="10"/>
  <c r="C55" i="3"/>
  <c r="B56" i="3"/>
  <c r="B46" i="6"/>
  <c r="E47" i="6"/>
  <c r="C47" i="6"/>
  <c r="C2" i="4"/>
  <c r="F31" i="3"/>
  <c r="E37" i="3"/>
  <c r="E31" i="3"/>
  <c r="C29" i="4"/>
  <c r="D29" i="4" s="1"/>
  <c r="E38" i="8"/>
  <c r="C38" i="8"/>
  <c r="B45" i="6"/>
  <c r="C45" i="6" s="1"/>
  <c r="G47" i="3"/>
  <c r="B46" i="3"/>
  <c r="G39" i="3"/>
  <c r="C39" i="3"/>
  <c r="B55" i="8"/>
  <c r="C54" i="8"/>
  <c r="E46" i="8"/>
  <c r="B45" i="8"/>
  <c r="C39" i="6"/>
  <c r="E39" i="6"/>
  <c r="B37" i="8" l="1"/>
  <c r="B53" i="8"/>
  <c r="F33" i="3"/>
  <c r="F32" i="3"/>
  <c r="E33" i="3"/>
  <c r="E32" i="3"/>
  <c r="F37" i="3"/>
  <c r="E36" i="3"/>
  <c r="F36" i="3" s="1"/>
  <c r="B54" i="6"/>
  <c r="B38" i="6"/>
  <c r="B54" i="3"/>
  <c r="B38" i="3"/>
  <c r="E54" i="6" l="1"/>
  <c r="C54" i="6"/>
  <c r="G54" i="3"/>
  <c r="C54" i="3"/>
  <c r="F34" i="3"/>
  <c r="E34" i="3"/>
  <c r="E30" i="3" s="1"/>
  <c r="B30" i="8"/>
  <c r="B36" i="8"/>
  <c r="C37" i="8"/>
  <c r="C30" i="8"/>
  <c r="B37" i="3"/>
  <c r="B31" i="3"/>
  <c r="C38" i="3"/>
  <c r="C31" i="3"/>
  <c r="B37" i="6"/>
  <c r="C38" i="6"/>
  <c r="C31" i="6"/>
  <c r="B31" i="6"/>
  <c r="E53" i="8"/>
  <c r="C53" i="8"/>
  <c r="B33" i="3" l="1"/>
  <c r="B32" i="3"/>
  <c r="C33" i="3"/>
  <c r="C32" i="3"/>
  <c r="B35" i="8"/>
  <c r="C35" i="8" s="1"/>
  <c r="C36" i="8"/>
  <c r="B36" i="3"/>
  <c r="C36" i="3" s="1"/>
  <c r="C37" i="3"/>
  <c r="B32" i="8"/>
  <c r="C31" i="8"/>
  <c r="B31" i="8"/>
  <c r="C32" i="8"/>
  <c r="C37" i="6"/>
  <c r="B36" i="6"/>
  <c r="C36" i="6" s="1"/>
  <c r="F30" i="3"/>
  <c r="E29" i="3"/>
  <c r="F29" i="3" s="1"/>
  <c r="C32" i="6"/>
  <c r="B32" i="6"/>
  <c r="C33" i="6"/>
  <c r="B33" i="6"/>
  <c r="C34" i="6" l="1"/>
  <c r="B34" i="6"/>
  <c r="B30" i="6" s="1"/>
  <c r="C33" i="8"/>
  <c r="B33" i="8"/>
  <c r="B29" i="8" s="1"/>
  <c r="B34" i="3"/>
  <c r="B30" i="3" s="1"/>
  <c r="C34" i="3"/>
  <c r="B29" i="3" l="1"/>
  <c r="C30" i="3"/>
  <c r="C29" i="8"/>
  <c r="B28" i="8"/>
  <c r="C30" i="6"/>
  <c r="B29" i="6"/>
  <c r="C28" i="8" l="1"/>
  <c r="B2" i="8"/>
  <c r="B2" i="6"/>
  <c r="C29" i="6"/>
  <c r="B2" i="3"/>
  <c r="C29" i="3"/>
  <c r="B15" i="3"/>
  <c r="C2" i="6" l="1"/>
  <c r="D29" i="6"/>
  <c r="H29" i="3"/>
  <c r="C2" i="3"/>
  <c r="C2" i="8"/>
  <c r="F28" i="8"/>
</calcChain>
</file>

<file path=xl/sharedStrings.xml><?xml version="1.0" encoding="utf-8"?>
<sst xmlns="http://schemas.openxmlformats.org/spreadsheetml/2006/main" count="1018" uniqueCount="685">
  <si>
    <r>
      <t xml:space="preserve">Provisional </t>
    </r>
    <r>
      <rPr>
        <b/>
        <sz val="12"/>
        <rFont val="Arial"/>
        <family val="2"/>
      </rPr>
      <t>PHRF</t>
    </r>
  </si>
  <si>
    <t>Preliminary TCF</t>
  </si>
  <si>
    <t>This form is for boats: a) New to the Fleet, b) Modified from the previous Configuration, or c) without a 2017 Rating</t>
  </si>
  <si>
    <t>The Rating Committee has no responsibility for the seaworthiness or safety of yachts rated &amp; cites US SAILING Fundamental Rule 4, "It shall be the sole responsibility of each yacht to decide whether or not to start or to continue to race".</t>
  </si>
  <si>
    <t>Boat Name</t>
  </si>
  <si>
    <t>Name</t>
  </si>
  <si>
    <t>Sail Number</t>
  </si>
  <si>
    <t>Marina</t>
  </si>
  <si>
    <t>Boat Model</t>
  </si>
  <si>
    <t>Slip Number</t>
  </si>
  <si>
    <t>Manufacturer</t>
  </si>
  <si>
    <t>Year Built</t>
  </si>
  <si>
    <t>Do you want an ODR (One Design Rating)?</t>
  </si>
  <si>
    <t>Yes</t>
  </si>
  <si>
    <t>c</t>
  </si>
  <si>
    <t>TBD</t>
  </si>
  <si>
    <t>No</t>
  </si>
  <si>
    <t>Unmodified Class Boat</t>
  </si>
  <si>
    <t>þ</t>
  </si>
  <si>
    <r>
      <t>Source of the information Provided</t>
    </r>
    <r>
      <rPr>
        <sz val="8"/>
        <rFont val="Arial"/>
        <family val="2"/>
      </rPr>
      <t xml:space="preserve"> (Circle/check all that apply)</t>
    </r>
  </si>
  <si>
    <t>Modified Class Boat</t>
  </si>
  <si>
    <t>Class Rules</t>
  </si>
  <si>
    <t>Sailmaker</t>
  </si>
  <si>
    <t>Non-Class (Custom)</t>
  </si>
  <si>
    <t>Estimate</t>
  </si>
  <si>
    <t>Measurement Certificate</t>
  </si>
  <si>
    <r>
      <rPr>
        <b/>
        <sz val="9"/>
        <rFont val="Arial"/>
        <family val="2"/>
      </rPr>
      <t>Sail Areas</t>
    </r>
    <r>
      <rPr>
        <sz val="9"/>
        <rFont val="Arial"/>
        <family val="2"/>
      </rPr>
      <t xml:space="preserve"> and the </t>
    </r>
    <r>
      <rPr>
        <b/>
        <sz val="9"/>
        <rFont val="Arial"/>
        <family val="2"/>
      </rPr>
      <t>Major Sail Dimensions</t>
    </r>
    <r>
      <rPr>
        <sz val="9"/>
        <rFont val="Arial"/>
        <family val="2"/>
      </rPr>
      <t xml:space="preserve"> (</t>
    </r>
    <r>
      <rPr>
        <b/>
        <sz val="9"/>
        <rFont val="Arial"/>
        <family val="2"/>
      </rPr>
      <t>Luff, Foot or LP</t>
    </r>
    <r>
      <rPr>
        <sz val="9"/>
        <rFont val="Arial"/>
        <family val="2"/>
      </rPr>
      <t>) are needed.  Please use the "</t>
    </r>
    <r>
      <rPr>
        <b/>
        <sz val="9"/>
        <rFont val="Arial"/>
        <family val="2"/>
      </rPr>
      <t>Actual Sail Area</t>
    </r>
    <r>
      <rPr>
        <sz val="9"/>
        <rFont val="Arial"/>
        <family val="2"/>
      </rPr>
      <t xml:space="preserve">" from the sailmaker w/supporting dimensions.
Descriptions of terms used for sails makers, sailing weight and hull measurement are on following pages. </t>
    </r>
    <r>
      <rPr>
        <b/>
        <sz val="9"/>
        <rFont val="Arial"/>
        <family val="2"/>
      </rPr>
      <t>UMS</t>
    </r>
    <r>
      <rPr>
        <sz val="9"/>
        <rFont val="Arial"/>
        <family val="2"/>
      </rPr>
      <t xml:space="preserve"> / IMS format is used for sails below (Universal Measruement System).  Corsair Class Rules used these measurements for mains headsails &amp; spins.  More Text Below, expand this XLS row, or see the following pages for the diagrams and explanations. Please provide drawings or pictures showing side &amp; end views of your boat if a modified or custom boat.
</t>
    </r>
    <r>
      <rPr>
        <sz val="6"/>
        <rFont val="Arial"/>
        <family val="2"/>
      </rPr>
      <t xml:space="preserve">
</t>
    </r>
    <r>
      <rPr>
        <b/>
        <sz val="9"/>
        <rFont val="Arial"/>
        <family val="2"/>
      </rPr>
      <t>Actual Sail Area</t>
    </r>
    <r>
      <rPr>
        <sz val="9"/>
        <rFont val="Arial"/>
        <family val="2"/>
      </rPr>
      <t xml:space="preserve"> from the sailmaker makes Mainsail Widths &amp; Jib Widths or Roach metrics, supporting items. Please give measurements in feet &amp; decimals or metric.  Mainsail Area is calculated using monohull ORC 109.1, HPR 309.3.  Main LE is needed for aspect ratio and more accurate Area (see diagrams).  Main Luff Girths will be used where the 7/8 MUW is above the head MHB. Jibs, Genoas, Gennakers, Screachers can use HPR/ORC 111.1 adding foot roach.  Jib Area calculates below on ORC, Jibs/Gennakers can use World Sailing F18/Texel/SCHRS triangles.  Jibs w/full-length battens see diagrams.  Mains can use World Sailing F18/Texel/SCHRS triangles.</t>
    </r>
    <r>
      <rPr>
        <sz val="6"/>
        <rFont val="Arial"/>
        <family val="2"/>
      </rPr>
      <t xml:space="preserve">
</t>
    </r>
    <r>
      <rPr>
        <sz val="9"/>
        <rFont val="Arial"/>
        <family val="2"/>
      </rPr>
      <t>Sail areas are to be reported as accurately as practicable.  Formulas for measurement are given for conventional sails.  These procedures do not restrict the measurer from using alternative means to obtain an accurate area for any sail which is an unusual shape and is deemed to require a different measuring technique.  RRS 50.2 &amp; 50.3 are deferred for the spinnaker tack on a bowsprit, sheeted to the floats.</t>
    </r>
  </si>
  <si>
    <t>Metric</t>
  </si>
  <si>
    <t>Imp.Ft</t>
  </si>
  <si>
    <r>
      <rPr>
        <b/>
        <sz val="9"/>
        <rFont val="Arial"/>
        <family val="2"/>
      </rPr>
      <t>Jib</t>
    </r>
    <r>
      <rPr>
        <sz val="8"/>
        <color indexed="12"/>
        <rFont val="Arial"/>
        <family val="2"/>
      </rPr>
      <t xml:space="preserve"> Largest x Sailmaker</t>
    </r>
  </si>
  <si>
    <r>
      <t>Screecher/Gennaker</t>
    </r>
    <r>
      <rPr>
        <sz val="9"/>
        <color rgb="FF0000FF"/>
        <rFont val="Arial"/>
        <family val="2"/>
      </rPr>
      <t xml:space="preserve"> </t>
    </r>
    <r>
      <rPr>
        <sz val="8"/>
        <color rgb="FF0000FF"/>
        <rFont val="Arial"/>
        <family val="2"/>
      </rPr>
      <t>Sailmaker</t>
    </r>
  </si>
  <si>
    <r>
      <t>Gnkr Triangle Area</t>
    </r>
    <r>
      <rPr>
        <sz val="8"/>
        <rFont val="Arial"/>
        <family val="2"/>
      </rPr>
      <t xml:space="preserve"> x Perimeter</t>
    </r>
  </si>
  <si>
    <t xml:space="preserve">Luff </t>
  </si>
  <si>
    <t>Luff</t>
  </si>
  <si>
    <t>Lu</t>
  </si>
  <si>
    <r>
      <t xml:space="preserve">Luff </t>
    </r>
    <r>
      <rPr>
        <sz val="9"/>
        <rFont val="Arial"/>
        <family val="2"/>
      </rPr>
      <t>P</t>
    </r>
    <r>
      <rPr>
        <sz val="8"/>
        <rFont val="Arial"/>
        <family val="2"/>
      </rPr>
      <t xml:space="preserve"> </t>
    </r>
  </si>
  <si>
    <t>LPG</t>
  </si>
  <si>
    <t>Le Estimate</t>
  </si>
  <si>
    <t>Foot E</t>
  </si>
  <si>
    <r>
      <t>HHB</t>
    </r>
    <r>
      <rPr>
        <sz val="9"/>
        <rFont val="Arial"/>
        <family val="2"/>
      </rPr>
      <t xml:space="preserve"> </t>
    </r>
    <r>
      <rPr>
        <sz val="8"/>
        <rFont val="Arial"/>
        <family val="2"/>
      </rPr>
      <t xml:space="preserve">(JH) Head: </t>
    </r>
  </si>
  <si>
    <t>Ft.</t>
  </si>
  <si>
    <r>
      <t>MHB</t>
    </r>
    <r>
      <rPr>
        <sz val="9"/>
        <rFont val="Arial"/>
        <family val="2"/>
      </rPr>
      <t xml:space="preserve"> </t>
    </r>
    <r>
      <rPr>
        <sz val="8"/>
        <rFont val="Arial"/>
        <family val="2"/>
      </rPr>
      <t>(MGH) Head</t>
    </r>
  </si>
  <si>
    <r>
      <rPr>
        <sz val="10"/>
        <rFont val="Arial"/>
        <family val="2"/>
      </rPr>
      <t>7/8 HUW</t>
    </r>
    <r>
      <rPr>
        <sz val="9"/>
        <rFont val="Arial"/>
        <family val="2"/>
      </rPr>
      <t xml:space="preserve"> </t>
    </r>
    <r>
      <rPr>
        <sz val="8"/>
        <rFont val="Arial"/>
        <family val="2"/>
      </rPr>
      <t>(JGT)</t>
    </r>
    <r>
      <rPr>
        <sz val="9"/>
        <rFont val="Arial"/>
        <family val="2"/>
      </rPr>
      <t>:</t>
    </r>
  </si>
  <si>
    <t>s = 1/2 (a + b + c)</t>
  </si>
  <si>
    <r>
      <t>7/8 MUW</t>
    </r>
    <r>
      <rPr>
        <sz val="9"/>
        <rFont val="Arial"/>
        <family val="2"/>
      </rPr>
      <t xml:space="preserve"> </t>
    </r>
    <r>
      <rPr>
        <sz val="8"/>
        <rFont val="Arial"/>
        <family val="2"/>
      </rPr>
      <t>(MGT)</t>
    </r>
  </si>
  <si>
    <r>
      <rPr>
        <sz val="10"/>
        <rFont val="Arial"/>
        <family val="2"/>
      </rPr>
      <t>3/4 HTW</t>
    </r>
    <r>
      <rPr>
        <sz val="9"/>
        <rFont val="Arial"/>
        <family val="2"/>
      </rPr>
      <t xml:space="preserve"> </t>
    </r>
    <r>
      <rPr>
        <sz val="8"/>
        <rFont val="Arial"/>
        <family val="2"/>
      </rPr>
      <t>(JGU)</t>
    </r>
    <r>
      <rPr>
        <sz val="9"/>
        <rFont val="Arial"/>
        <family val="2"/>
      </rPr>
      <t>:</t>
    </r>
  </si>
  <si>
    <r>
      <rPr>
        <b/>
        <sz val="8"/>
        <rFont val="Arial"/>
        <family val="2"/>
      </rPr>
      <t>Gnkr.Area</t>
    </r>
    <r>
      <rPr>
        <sz val="8"/>
        <color theme="0" tint="-0.499984740745262"/>
        <rFont val="Arial"/>
        <family val="2"/>
      </rPr>
      <t xml:space="preserve"> = (s*(s-a)*(s-b)*(s-c))^0.5</t>
    </r>
  </si>
  <si>
    <r>
      <t>3/4 MTW</t>
    </r>
    <r>
      <rPr>
        <sz val="8"/>
        <rFont val="Arial"/>
        <family val="2"/>
      </rPr>
      <t xml:space="preserve"> (MGU)</t>
    </r>
  </si>
  <si>
    <r>
      <rPr>
        <sz val="10"/>
        <rFont val="Arial"/>
        <family val="2"/>
      </rPr>
      <t>1/2 HHW</t>
    </r>
    <r>
      <rPr>
        <sz val="9"/>
        <rFont val="Arial"/>
        <family val="2"/>
      </rPr>
      <t xml:space="preserve"> </t>
    </r>
    <r>
      <rPr>
        <sz val="8"/>
        <rFont val="Arial"/>
        <family val="2"/>
      </rPr>
      <t>(JGM)</t>
    </r>
    <r>
      <rPr>
        <sz val="9"/>
        <rFont val="Arial"/>
        <family val="2"/>
      </rPr>
      <t xml:space="preserve">: </t>
    </r>
  </si>
  <si>
    <r>
      <rPr>
        <b/>
        <sz val="8"/>
        <rFont val="Arial"/>
        <family val="2"/>
      </rPr>
      <t>Gnkr H</t>
    </r>
    <r>
      <rPr>
        <sz val="8"/>
        <rFont val="Arial"/>
        <family val="2"/>
      </rPr>
      <t>.</t>
    </r>
    <r>
      <rPr>
        <b/>
        <sz val="8"/>
        <rFont val="Arial"/>
        <family val="2"/>
      </rPr>
      <t>Calc</t>
    </r>
    <r>
      <rPr>
        <sz val="8"/>
        <rFont val="Arial"/>
        <family val="2"/>
      </rPr>
      <t xml:space="preserve"> = 2 * Area / Lu</t>
    </r>
  </si>
  <si>
    <r>
      <t>1/2 MGM</t>
    </r>
    <r>
      <rPr>
        <sz val="8"/>
        <rFont val="Arial"/>
        <family val="2"/>
      </rPr>
      <t xml:space="preserve"> (MHW)</t>
    </r>
  </si>
  <si>
    <r>
      <rPr>
        <sz val="10"/>
        <rFont val="Arial"/>
        <family val="2"/>
      </rPr>
      <t>1/4 HQW</t>
    </r>
    <r>
      <rPr>
        <sz val="9"/>
        <rFont val="Arial"/>
        <family val="2"/>
      </rPr>
      <t xml:space="preserve"> </t>
    </r>
    <r>
      <rPr>
        <sz val="8"/>
        <rFont val="Arial"/>
        <family val="2"/>
      </rPr>
      <t>(JGL)</t>
    </r>
    <r>
      <rPr>
        <sz val="9"/>
        <rFont val="Arial"/>
        <family val="2"/>
      </rPr>
      <t>:</t>
    </r>
  </si>
  <si>
    <r>
      <t>1/4 MQW</t>
    </r>
    <r>
      <rPr>
        <sz val="8"/>
        <rFont val="Arial"/>
        <family val="2"/>
      </rPr>
      <t xml:space="preserve"> (MGL)</t>
    </r>
  </si>
  <si>
    <t xml:space="preserve">Foot : </t>
  </si>
  <si>
    <r>
      <t>Foot</t>
    </r>
    <r>
      <rPr>
        <sz val="8"/>
        <rFont val="Arial"/>
        <family val="2"/>
      </rPr>
      <t xml:space="preserve"> </t>
    </r>
  </si>
  <si>
    <r>
      <t xml:space="preserve">LE </t>
    </r>
    <r>
      <rPr>
        <sz val="8"/>
        <rFont val="Arial"/>
        <family val="2"/>
      </rPr>
      <t xml:space="preserve">:  </t>
    </r>
  </si>
  <si>
    <t>Ft Roach</t>
  </si>
  <si>
    <r>
      <t>Foot.</t>
    </r>
    <r>
      <rPr>
        <sz val="8"/>
        <rFont val="Arial"/>
        <family val="2"/>
      </rPr>
      <t>Roach</t>
    </r>
  </si>
  <si>
    <t>Gnk HHW / LP proxy</t>
  </si>
  <si>
    <t>Area Below H ≈</t>
  </si>
  <si>
    <r>
      <t xml:space="preserve">JLE </t>
    </r>
    <r>
      <rPr>
        <sz val="9"/>
        <rFont val="Arial"/>
        <family val="2"/>
      </rPr>
      <t>Leech:</t>
    </r>
    <r>
      <rPr>
        <sz val="10"/>
        <rFont val="Arial"/>
        <family val="2"/>
      </rPr>
      <t xml:space="preserve"> </t>
    </r>
  </si>
  <si>
    <r>
      <t>JLE Leech</t>
    </r>
    <r>
      <rPr>
        <sz val="8"/>
        <rFont val="Arial"/>
        <family val="2"/>
      </rPr>
      <t xml:space="preserve">: </t>
    </r>
  </si>
  <si>
    <r>
      <t>Measured SA = P/8*(E+*2MWL+2*MWM+1.5*MWU+MWT+0.5 *HB) +</t>
    </r>
    <r>
      <rPr>
        <sz val="4"/>
        <color rgb="FF0000FF"/>
        <rFont val="Arial"/>
        <family val="2"/>
      </rPr>
      <t xml:space="preserve"> (Foot Roach)</t>
    </r>
  </si>
  <si>
    <r>
      <t xml:space="preserve">0.1125× JL× (1.445× LPG + 2× JGL + 2× JGM +1.5× JGU + JGT + 0.5× JH) </t>
    </r>
    <r>
      <rPr>
        <sz val="4"/>
        <color rgb="FF0000FF"/>
        <rFont val="Arial"/>
        <family val="2"/>
      </rPr>
      <t>±Ft.Roach</t>
    </r>
  </si>
  <si>
    <t>Kg</t>
  </si>
  <si>
    <t>Lb</t>
  </si>
  <si>
    <r>
      <t>Asymmetric, Symmetric</t>
    </r>
    <r>
      <rPr>
        <sz val="8"/>
        <color rgb="FF0000FF"/>
        <rFont val="Arial"/>
        <family val="2"/>
      </rPr>
      <t xml:space="preserve"> Largest x Sailmaker</t>
    </r>
  </si>
  <si>
    <r>
      <t>Displacement</t>
    </r>
    <r>
      <rPr>
        <sz val="10"/>
        <color indexed="23"/>
        <rFont val="Arial"/>
        <family val="2"/>
      </rPr>
      <t xml:space="preserve"> </t>
    </r>
  </si>
  <si>
    <r>
      <rPr>
        <b/>
        <sz val="8"/>
        <rFont val="Arial"/>
        <family val="2"/>
      </rPr>
      <t>Jib Triangle Area</t>
    </r>
    <r>
      <rPr>
        <sz val="8"/>
        <rFont val="Arial"/>
        <family val="2"/>
      </rPr>
      <t xml:space="preserve"> x Perimeter</t>
    </r>
  </si>
  <si>
    <t>Wt Boat as raced, with racing sails</t>
  </si>
  <si>
    <t>Lu.</t>
  </si>
  <si>
    <r>
      <rPr>
        <b/>
        <sz val="9"/>
        <rFont val="Arial"/>
        <family val="2"/>
      </rPr>
      <t>Area :</t>
    </r>
    <r>
      <rPr>
        <sz val="10"/>
        <rFont val="Arial"/>
        <family val="2"/>
      </rPr>
      <t xml:space="preserve"> </t>
    </r>
    <r>
      <rPr>
        <sz val="8"/>
        <color indexed="12"/>
        <rFont val="Arial"/>
        <family val="2"/>
      </rPr>
      <t/>
    </r>
  </si>
  <si>
    <r>
      <t>LP</t>
    </r>
    <r>
      <rPr>
        <sz val="8"/>
        <rFont val="Arial"/>
        <family val="2"/>
      </rPr>
      <t xml:space="preserve"> H =</t>
    </r>
  </si>
  <si>
    <t>dry, no(Gas, Water, personal gear)</t>
  </si>
  <si>
    <t>Le</t>
  </si>
  <si>
    <r>
      <t>SLU</t>
    </r>
    <r>
      <rPr>
        <sz val="8"/>
        <rFont val="Arial"/>
        <family val="2"/>
      </rPr>
      <t xml:space="preserve"> (tape perimeter)</t>
    </r>
  </si>
  <si>
    <r>
      <t xml:space="preserve">HHB </t>
    </r>
    <r>
      <rPr>
        <sz val="8"/>
        <rFont val="Arial"/>
        <family val="2"/>
      </rPr>
      <t>(JH) Head</t>
    </r>
  </si>
  <si>
    <r>
      <t>SLE</t>
    </r>
    <r>
      <rPr>
        <sz val="8"/>
        <rFont val="Arial"/>
        <family val="2"/>
      </rPr>
      <t xml:space="preserve"> (tape perimeter)</t>
    </r>
  </si>
  <si>
    <r>
      <t>Leech1</t>
    </r>
    <r>
      <rPr>
        <sz val="8"/>
        <rFont val="Arial"/>
        <family val="2"/>
      </rPr>
      <t>:</t>
    </r>
  </si>
  <si>
    <t xml:space="preserve">WE: </t>
  </si>
  <si>
    <r>
      <t>SHW</t>
    </r>
    <r>
      <rPr>
        <sz val="8"/>
        <rFont val="Arial"/>
        <family val="2"/>
      </rPr>
      <t xml:space="preserve"> (SMG) (half-width, mid-girth)</t>
    </r>
  </si>
  <si>
    <t>Leech2</t>
  </si>
  <si>
    <t>Weight Sailing</t>
  </si>
  <si>
    <r>
      <rPr>
        <b/>
        <sz val="8"/>
        <rFont val="Arial"/>
        <family val="2"/>
      </rPr>
      <t>Jib.Area</t>
    </r>
    <r>
      <rPr>
        <sz val="8"/>
        <color theme="0" tint="-0.499984740745262"/>
        <rFont val="Arial"/>
        <family val="2"/>
      </rPr>
      <t xml:space="preserve"> = (s*(s-a)*(s-b)*(s-c))^0.5</t>
    </r>
  </si>
  <si>
    <r>
      <t>Ft</t>
    </r>
    <r>
      <rPr>
        <sz val="8"/>
        <rFont val="Arial"/>
        <family val="2"/>
      </rPr>
      <t xml:space="preserve"> (tape perimeter)</t>
    </r>
  </si>
  <si>
    <r>
      <t>Foot</t>
    </r>
    <r>
      <rPr>
        <sz val="8"/>
        <rFont val="Arial"/>
        <family val="2"/>
      </rPr>
      <t xml:space="preserve">: </t>
    </r>
  </si>
  <si>
    <r>
      <rPr>
        <b/>
        <sz val="8"/>
        <rFont val="Arial"/>
        <family val="2"/>
      </rPr>
      <t>Jib H.Calc = LPG</t>
    </r>
    <r>
      <rPr>
        <sz val="8"/>
        <rFont val="Arial"/>
        <family val="2"/>
      </rPr>
      <t xml:space="preserve"> = 2 * Area / Lu</t>
    </r>
  </si>
  <si>
    <t>Lu Roach ±</t>
  </si>
  <si>
    <t>Weight Crew Auto</t>
  </si>
  <si>
    <t>Le2 Roach ±</t>
  </si>
  <si>
    <t>SMG as % SF</t>
  </si>
  <si>
    <t>Ft Roach ±</t>
  </si>
  <si>
    <t>Rated Weight</t>
  </si>
  <si>
    <t>SA = (Luff+Leech)*(Foot + 4*Mid Girth) / 12</t>
  </si>
  <si>
    <t>ERS World Sailing and/or US Sailing methods of sail measurement apply above, not class rules.  Longest Luff Lengths from Class Rules &amp; Maximum Sail Areas will be assumed if not provided.  Weight Measured will be lightest boat in Class unless weighed w/inspection.</t>
  </si>
  <si>
    <t>Hull</t>
  </si>
  <si>
    <t>Hull - Foils</t>
  </si>
  <si>
    <t xml:space="preserve">Other </t>
  </si>
  <si>
    <t>Length Overall:</t>
  </si>
  <si>
    <t>Daggerboard (y/n)</t>
  </si>
  <si>
    <r>
      <t>Masthead</t>
    </r>
    <r>
      <rPr>
        <sz val="4"/>
        <rFont val="Arial"/>
        <family val="2"/>
      </rPr>
      <t xml:space="preserve"> </t>
    </r>
    <r>
      <rPr>
        <sz val="10"/>
        <rFont val="Arial"/>
        <family val="2"/>
      </rPr>
      <t>Spin</t>
    </r>
    <r>
      <rPr>
        <sz val="8"/>
        <rFont val="Arial"/>
        <family val="2"/>
      </rPr>
      <t>(yes/no)</t>
    </r>
  </si>
  <si>
    <t>no</t>
  </si>
  <si>
    <t>Centerboard (y/n)</t>
  </si>
  <si>
    <t>n</t>
  </si>
  <si>
    <r>
      <t>Masthead</t>
    </r>
    <r>
      <rPr>
        <sz val="4"/>
        <rFont val="Arial"/>
        <family val="2"/>
      </rPr>
      <t xml:space="preserve"> </t>
    </r>
    <r>
      <rPr>
        <sz val="10"/>
        <rFont val="Arial"/>
        <family val="2"/>
      </rPr>
      <t>Scr.</t>
    </r>
    <r>
      <rPr>
        <sz val="8"/>
        <rFont val="Arial"/>
        <family val="2"/>
      </rPr>
      <t>(yes/no)</t>
    </r>
  </si>
  <si>
    <t xml:space="preserve">Beam </t>
  </si>
  <si>
    <r>
      <t>Ctbd</t>
    </r>
    <r>
      <rPr>
        <sz val="9"/>
        <rFont val="Arial"/>
        <family val="2"/>
      </rPr>
      <t xml:space="preserve"> Fairing </t>
    </r>
    <r>
      <rPr>
        <sz val="8"/>
        <rFont val="Arial"/>
        <family val="2"/>
      </rPr>
      <t>(y/n=0.990)</t>
    </r>
  </si>
  <si>
    <t>Sprit Length</t>
  </si>
  <si>
    <t>Max. Draft</t>
  </si>
  <si>
    <r>
      <t>Keel</t>
    </r>
    <r>
      <rPr>
        <sz val="9"/>
        <rFont val="Arial"/>
        <family val="2"/>
      </rPr>
      <t>(y/n)</t>
    </r>
    <r>
      <rPr>
        <sz val="4"/>
        <rFont val="Arial"/>
        <family val="2"/>
      </rPr>
      <t xml:space="preserve"> </t>
    </r>
    <r>
      <rPr>
        <sz val="8"/>
        <rFont val="Arial"/>
        <family val="2"/>
      </rPr>
      <t>(y 0.995 or 0.980)</t>
    </r>
  </si>
  <si>
    <r>
      <t>Rigging</t>
    </r>
    <r>
      <rPr>
        <sz val="8"/>
        <rFont val="Arial"/>
        <family val="2"/>
      </rPr>
      <t xml:space="preserve"> (SS, synthetic)</t>
    </r>
  </si>
  <si>
    <t>Synthetic</t>
  </si>
  <si>
    <t>FOC Fwd Overhang</t>
  </si>
  <si>
    <t>Lifting Foils</t>
  </si>
  <si>
    <r>
      <rPr>
        <sz val="10"/>
        <rFont val="Arial"/>
        <family val="2"/>
      </rPr>
      <t>MastCircumference</t>
    </r>
    <r>
      <rPr>
        <sz val="8"/>
        <rFont val="Arial"/>
        <family val="2"/>
      </rPr>
      <t xml:space="preserve"> ( If </t>
    </r>
    <r>
      <rPr>
        <sz val="8"/>
        <color rgb="FF0000FF"/>
        <rFont val="Arial"/>
        <family val="2"/>
      </rPr>
      <t xml:space="preserve">rotating </t>
    </r>
    <r>
      <rPr>
        <sz val="8"/>
        <rFont val="Arial"/>
        <family val="2"/>
      </rPr>
      <t>)</t>
    </r>
  </si>
  <si>
    <t>AOC Aft Overhang</t>
  </si>
  <si>
    <t>(y/n, Curved, T, J)</t>
  </si>
  <si>
    <r>
      <t>Holding Tank</t>
    </r>
    <r>
      <rPr>
        <sz val="8"/>
        <rFont val="Arial"/>
        <family val="2"/>
      </rPr>
      <t>(s) (yes/no)</t>
    </r>
  </si>
  <si>
    <r>
      <t>Engine</t>
    </r>
    <r>
      <rPr>
        <b/>
        <sz val="8"/>
        <rFont val="Arial"/>
        <family val="2"/>
      </rPr>
      <t>(s)</t>
    </r>
  </si>
  <si>
    <r>
      <t>Propeller</t>
    </r>
    <r>
      <rPr>
        <b/>
        <sz val="8"/>
        <rFont val="Arial"/>
        <family val="2"/>
      </rPr>
      <t>(s)</t>
    </r>
  </si>
  <si>
    <r>
      <t>Inboard</t>
    </r>
    <r>
      <rPr>
        <sz val="8"/>
        <rFont val="Arial"/>
        <family val="2"/>
      </rPr>
      <t xml:space="preserve"> (hp x type)</t>
    </r>
  </si>
  <si>
    <r>
      <t>1 x feather/fold</t>
    </r>
    <r>
      <rPr>
        <sz val="8"/>
        <rFont val="Arial"/>
        <family val="2"/>
      </rPr>
      <t xml:space="preserve"> (0.980)</t>
    </r>
  </si>
  <si>
    <t>n/a</t>
  </si>
  <si>
    <r>
      <t>2 x feather/fold</t>
    </r>
    <r>
      <rPr>
        <sz val="8"/>
        <rFont val="Arial"/>
        <family val="2"/>
      </rPr>
      <t xml:space="preserve"> (0.970)</t>
    </r>
  </si>
  <si>
    <r>
      <t>Outboard</t>
    </r>
    <r>
      <rPr>
        <sz val="8"/>
        <rFont val="Arial"/>
        <family val="2"/>
      </rPr>
      <t xml:space="preserve"> (hp x type)</t>
    </r>
  </si>
  <si>
    <r>
      <t>1 x fixed</t>
    </r>
    <r>
      <rPr>
        <sz val="8"/>
        <rFont val="Arial"/>
        <family val="2"/>
      </rPr>
      <t xml:space="preserve"> (blades 0.975)</t>
    </r>
  </si>
  <si>
    <r>
      <t>2 x fixed</t>
    </r>
    <r>
      <rPr>
        <sz val="8"/>
        <rFont val="Arial"/>
        <family val="2"/>
      </rPr>
      <t xml:space="preserve"> (blades 0.964)</t>
    </r>
  </si>
  <si>
    <t>Modifications / Notes</t>
  </si>
  <si>
    <t>Describe modifications / comments / trapeze(#) or hiking straps below</t>
  </si>
  <si>
    <t>I certify that my vessel conforms to the configuration indicated above and understand that the bama certificate will be issued based on this information, valid only for the indicated configuration.</t>
  </si>
  <si>
    <t>Electronically</t>
  </si>
  <si>
    <t>rating committee</t>
  </si>
  <si>
    <t>Signature of Owner</t>
  </si>
  <si>
    <t>Owner.Name (electronically)</t>
  </si>
  <si>
    <t>Date</t>
  </si>
  <si>
    <t>EXAMPLE</t>
  </si>
  <si>
    <t>Provisional PHRF</t>
  </si>
  <si>
    <t>This form is for boats: a) New to the Fleet, b) Modified from the previous Configuration, or c) without a 2016 Rating</t>
  </si>
  <si>
    <r>
      <rPr>
        <b/>
        <sz val="10"/>
        <color indexed="12"/>
        <rFont val="Arial"/>
        <family val="2"/>
      </rPr>
      <t>USA</t>
    </r>
    <r>
      <rPr>
        <b/>
        <sz val="11"/>
        <color indexed="12"/>
        <rFont val="Arial"/>
        <family val="2"/>
      </rPr>
      <t xml:space="preserve"> </t>
    </r>
    <r>
      <rPr>
        <b/>
        <sz val="14"/>
        <color indexed="12"/>
        <rFont val="Arial"/>
        <family val="2"/>
      </rPr>
      <t>49</t>
    </r>
  </si>
  <si>
    <t>Treasure Island Sailing Club</t>
  </si>
  <si>
    <t>Pulse 600</t>
  </si>
  <si>
    <t>Dry Storage</t>
  </si>
  <si>
    <t>Corsair Marine</t>
  </si>
  <si>
    <t>This is a:</t>
  </si>
  <si>
    <t>Designer</t>
  </si>
  <si>
    <t>Owner Measurement</t>
  </si>
  <si>
    <t>Estimate RatingsComm</t>
  </si>
  <si>
    <r>
      <rPr>
        <b/>
        <sz val="10"/>
        <rFont val="Arial"/>
        <family val="2"/>
      </rPr>
      <t>Main</t>
    </r>
    <r>
      <rPr>
        <sz val="8"/>
        <color indexed="12"/>
        <rFont val="Arial"/>
        <family val="2"/>
      </rPr>
      <t xml:space="preserve"> 109.1/309.3 Rated Area</t>
    </r>
  </si>
  <si>
    <r>
      <t xml:space="preserve">Jib </t>
    </r>
    <r>
      <rPr>
        <sz val="8"/>
        <color indexed="12"/>
        <rFont val="Arial"/>
        <family val="2"/>
      </rPr>
      <t>2016 Doyle x UMS</t>
    </r>
  </si>
  <si>
    <r>
      <rPr>
        <b/>
        <sz val="9"/>
        <rFont val="Arial"/>
        <family val="2"/>
      </rPr>
      <t>Screecher/Gnkr</t>
    </r>
    <r>
      <rPr>
        <b/>
        <sz val="8"/>
        <color rgb="FF0000FF"/>
        <rFont val="Arial"/>
        <family val="2"/>
      </rPr>
      <t xml:space="preserve"> </t>
    </r>
    <r>
      <rPr>
        <b/>
        <sz val="10"/>
        <color rgb="FF0000FF"/>
        <rFont val="Arial"/>
        <family val="2"/>
      </rPr>
      <t>None</t>
    </r>
    <r>
      <rPr>
        <sz val="8"/>
        <color rgb="FF0000FF"/>
        <rFont val="Arial"/>
        <family val="2"/>
      </rPr>
      <t xml:space="preserve"> MOCRA.UK M-3144</t>
    </r>
  </si>
  <si>
    <r>
      <rPr>
        <b/>
        <sz val="8"/>
        <rFont val="Arial"/>
        <family val="2"/>
      </rPr>
      <t>2016 MOCRA Pulse Gnkr</t>
    </r>
    <r>
      <rPr>
        <sz val="8"/>
        <rFont val="Arial"/>
        <family val="2"/>
      </rPr>
      <t xml:space="preserve"> Area x Perimeter</t>
    </r>
  </si>
  <si>
    <r>
      <t>Area Lu.Girths 18.19m</t>
    </r>
    <r>
      <rPr>
        <vertAlign val="superscript"/>
        <sz val="6"/>
        <rFont val="Arial"/>
        <family val="2"/>
      </rPr>
      <t>2</t>
    </r>
    <r>
      <rPr>
        <sz val="8"/>
        <rFont val="Arial"/>
        <family val="2"/>
      </rPr>
      <t xml:space="preserve"> -below.H</t>
    </r>
  </si>
  <si>
    <r>
      <t>Luff</t>
    </r>
    <r>
      <rPr>
        <sz val="8"/>
        <rFont val="Arial"/>
        <family val="2"/>
      </rPr>
      <t xml:space="preserve"> class 9.45</t>
    </r>
  </si>
  <si>
    <t>LP</t>
  </si>
  <si>
    <r>
      <t>LP</t>
    </r>
    <r>
      <rPr>
        <sz val="8"/>
        <rFont val="Arial"/>
        <family val="2"/>
      </rPr>
      <t xml:space="preserve"> </t>
    </r>
    <r>
      <rPr>
        <sz val="6"/>
        <rFont val="Arial"/>
        <family val="2"/>
      </rPr>
      <t/>
    </r>
  </si>
  <si>
    <r>
      <t>MHB</t>
    </r>
    <r>
      <rPr>
        <sz val="9"/>
        <rFont val="Arial"/>
        <family val="2"/>
      </rPr>
      <t xml:space="preserve"> </t>
    </r>
    <r>
      <rPr>
        <sz val="8"/>
        <rFont val="Arial"/>
        <family val="2"/>
      </rPr>
      <t xml:space="preserve">(MGH) Head </t>
    </r>
    <r>
      <rPr>
        <sz val="6"/>
        <rFont val="Arial"/>
        <family val="2"/>
      </rPr>
      <t>class 1.050</t>
    </r>
  </si>
  <si>
    <r>
      <t>7/8 MUW</t>
    </r>
    <r>
      <rPr>
        <sz val="9"/>
        <rFont val="Arial"/>
        <family val="2"/>
      </rPr>
      <t xml:space="preserve"> </t>
    </r>
    <r>
      <rPr>
        <sz val="8"/>
        <rFont val="Arial"/>
        <family val="2"/>
      </rPr>
      <t>(MGT)</t>
    </r>
    <r>
      <rPr>
        <sz val="6"/>
        <rFont val="Arial"/>
        <family val="2"/>
      </rPr>
      <t xml:space="preserve"> class 1.255</t>
    </r>
  </si>
  <si>
    <r>
      <t>3/4 MTW</t>
    </r>
    <r>
      <rPr>
        <sz val="8"/>
        <rFont val="Arial"/>
        <family val="2"/>
      </rPr>
      <t xml:space="preserve"> (MGU)</t>
    </r>
    <r>
      <rPr>
        <sz val="6"/>
        <rFont val="Arial"/>
        <family val="2"/>
      </rPr>
      <t xml:space="preserve"> class 1.680</t>
    </r>
  </si>
  <si>
    <r>
      <rPr>
        <b/>
        <sz val="8"/>
        <rFont val="Arial"/>
        <family val="2"/>
      </rPr>
      <t>Gnkr H</t>
    </r>
    <r>
      <rPr>
        <sz val="8"/>
        <rFont val="Arial"/>
        <family val="2"/>
      </rPr>
      <t xml:space="preserve">. </t>
    </r>
    <r>
      <rPr>
        <b/>
        <sz val="8"/>
        <rFont val="Arial"/>
        <family val="2"/>
      </rPr>
      <t>Calc'ed</t>
    </r>
    <r>
      <rPr>
        <sz val="8"/>
        <rFont val="Arial"/>
        <family val="2"/>
      </rPr>
      <t xml:space="preserve"> = 2 * Area / Lu</t>
    </r>
  </si>
  <si>
    <r>
      <t>1/2 MGM</t>
    </r>
    <r>
      <rPr>
        <sz val="8"/>
        <rFont val="Arial"/>
        <family val="2"/>
      </rPr>
      <t xml:space="preserve"> (MHW)</t>
    </r>
    <r>
      <rPr>
        <sz val="6"/>
        <rFont val="Arial"/>
        <family val="2"/>
      </rPr>
      <t xml:space="preserve"> class 2.125</t>
    </r>
  </si>
  <si>
    <r>
      <t>Gnk HHW (1/2)  = (LP + HHB ) / 2 +</t>
    </r>
    <r>
      <rPr>
        <sz val="8"/>
        <color rgb="FF7575FF"/>
        <rFont val="Arial"/>
        <family val="2"/>
      </rPr>
      <t>0.XX Est</t>
    </r>
  </si>
  <si>
    <r>
      <t>1/4 MQW</t>
    </r>
    <r>
      <rPr>
        <sz val="8"/>
        <rFont val="Arial"/>
        <family val="2"/>
      </rPr>
      <t xml:space="preserve"> (MGL)</t>
    </r>
    <r>
      <rPr>
        <sz val="6"/>
        <rFont val="Arial"/>
        <family val="2"/>
      </rPr>
      <t xml:space="preserve"> class 2.440</t>
    </r>
  </si>
  <si>
    <r>
      <t>Foot</t>
    </r>
    <r>
      <rPr>
        <sz val="8"/>
        <rFont val="Arial"/>
        <family val="2"/>
      </rPr>
      <t xml:space="preserve"> class 4.53</t>
    </r>
  </si>
  <si>
    <r>
      <t>Gnk HTW (3/4) = (HHW + HHB ) / 2 +</t>
    </r>
    <r>
      <rPr>
        <sz val="8"/>
        <color rgb="FF7575FF"/>
        <rFont val="Arial"/>
        <family val="2"/>
      </rPr>
      <t>0.XX Est</t>
    </r>
  </si>
  <si>
    <r>
      <t xml:space="preserve">LE </t>
    </r>
    <r>
      <rPr>
        <sz val="8"/>
        <rFont val="Arial"/>
        <family val="2"/>
      </rPr>
      <t xml:space="preserve">: </t>
    </r>
    <r>
      <rPr>
        <sz val="6"/>
        <rFont val="Arial"/>
        <family val="2"/>
      </rPr>
      <t>class 9.100</t>
    </r>
  </si>
  <si>
    <r>
      <t>Ft Roach</t>
    </r>
    <r>
      <rPr>
        <sz val="8"/>
        <rFont val="Arial"/>
        <family val="2"/>
      </rPr>
      <t xml:space="preserve"> </t>
    </r>
  </si>
  <si>
    <t>Subtract Area Below H ≈</t>
  </si>
  <si>
    <r>
      <t xml:space="preserve">JLE </t>
    </r>
    <r>
      <rPr>
        <sz val="9"/>
        <rFont val="Arial"/>
        <family val="2"/>
      </rPr>
      <t>Leech:</t>
    </r>
    <r>
      <rPr>
        <sz val="10"/>
        <rFont val="Arial"/>
        <family val="2"/>
      </rPr>
      <t/>
    </r>
  </si>
  <si>
    <r>
      <t>JLE Leech</t>
    </r>
    <r>
      <rPr>
        <sz val="8"/>
        <rFont val="Arial"/>
        <family val="2"/>
      </rPr>
      <t>: class 9.45</t>
    </r>
  </si>
  <si>
    <r>
      <t>Asymmetric</t>
    </r>
    <r>
      <rPr>
        <sz val="8"/>
        <color rgb="FF0000FF"/>
        <rFont val="Arial"/>
        <family val="2"/>
      </rPr>
      <t xml:space="preserve"> 2016 Doyle</t>
    </r>
  </si>
  <si>
    <r>
      <t xml:space="preserve">Jib </t>
    </r>
    <r>
      <rPr>
        <sz val="8"/>
        <color rgb="FF0000FF"/>
        <rFont val="Arial"/>
        <family val="2"/>
      </rPr>
      <t xml:space="preserve">2016 </t>
    </r>
    <r>
      <rPr>
        <sz val="8"/>
        <color indexed="12"/>
        <rFont val="Arial"/>
        <family val="2"/>
      </rPr>
      <t>Doyle x SCHRS TXL</t>
    </r>
  </si>
  <si>
    <r>
      <rPr>
        <b/>
        <sz val="8"/>
        <rFont val="Arial"/>
        <family val="2"/>
      </rPr>
      <t>2016 Pulse Jib Area</t>
    </r>
    <r>
      <rPr>
        <sz val="8"/>
        <rFont val="Arial"/>
        <family val="2"/>
      </rPr>
      <t xml:space="preserve"> x Perimeter</t>
    </r>
  </si>
  <si>
    <r>
      <t>Wt Boat</t>
    </r>
    <r>
      <rPr>
        <sz val="8"/>
        <rFont val="Arial"/>
        <family val="2"/>
      </rPr>
      <t xml:space="preserve"> sails, outboard, anchor</t>
    </r>
  </si>
  <si>
    <t>Lu.Class</t>
  </si>
  <si>
    <r>
      <rPr>
        <b/>
        <sz val="9"/>
        <rFont val="Arial"/>
        <family val="2"/>
      </rPr>
      <t>Area:</t>
    </r>
    <r>
      <rPr>
        <sz val="10"/>
        <rFont val="Arial"/>
        <family val="2"/>
      </rPr>
      <t xml:space="preserve"> </t>
    </r>
    <r>
      <rPr>
        <sz val="8"/>
        <color indexed="12"/>
        <rFont val="Arial"/>
        <family val="2"/>
      </rPr>
      <t/>
    </r>
  </si>
  <si>
    <r>
      <t>LP</t>
    </r>
    <r>
      <rPr>
        <sz val="8"/>
        <rFont val="Arial"/>
        <family val="2"/>
      </rPr>
      <t xml:space="preserve"> H</t>
    </r>
  </si>
  <si>
    <t>Mast, Asym, Roller Furling Jib</t>
  </si>
  <si>
    <t>Le Class</t>
  </si>
  <si>
    <r>
      <t>SLU</t>
    </r>
    <r>
      <rPr>
        <sz val="8"/>
        <rFont val="Arial"/>
        <family val="2"/>
      </rPr>
      <t xml:space="preserve"> </t>
    </r>
  </si>
  <si>
    <r>
      <t>HHB (JH)</t>
    </r>
    <r>
      <rPr>
        <sz val="8"/>
        <rFont val="Arial"/>
        <family val="2"/>
      </rPr>
      <t xml:space="preserve"> Head:</t>
    </r>
  </si>
  <si>
    <t>Mainsail, CG Safety, dry(gas,h2o)</t>
  </si>
  <si>
    <t>Ft. Class</t>
  </si>
  <si>
    <r>
      <t>SLE</t>
    </r>
    <r>
      <rPr>
        <sz val="8"/>
        <rFont val="Arial"/>
        <family val="2"/>
      </rPr>
      <t xml:space="preserve"> </t>
    </r>
  </si>
  <si>
    <r>
      <t>SMG</t>
    </r>
    <r>
      <rPr>
        <sz val="8"/>
        <rFont val="Arial"/>
        <family val="2"/>
      </rPr>
      <t xml:space="preserve"> </t>
    </r>
  </si>
  <si>
    <r>
      <t>Ft</t>
    </r>
    <r>
      <rPr>
        <sz val="8"/>
        <rFont val="Arial"/>
        <family val="2"/>
      </rPr>
      <t xml:space="preserve"> </t>
    </r>
  </si>
  <si>
    <r>
      <t>Foot</t>
    </r>
    <r>
      <rPr>
        <sz val="8"/>
        <rFont val="Arial"/>
        <family val="2"/>
      </rPr>
      <t>:</t>
    </r>
  </si>
  <si>
    <r>
      <t>WCD</t>
    </r>
    <r>
      <rPr>
        <sz val="8"/>
        <rFont val="Arial"/>
        <family val="2"/>
      </rPr>
      <t xml:space="preserve"> Wt. Crew Decl. xClass.Min</t>
    </r>
  </si>
  <si>
    <r>
      <rPr>
        <b/>
        <sz val="8"/>
        <rFont val="Arial"/>
        <family val="2"/>
      </rPr>
      <t>Jib H.Lp.Calc</t>
    </r>
    <r>
      <rPr>
        <sz val="8"/>
        <rFont val="Arial"/>
        <family val="2"/>
      </rPr>
      <t xml:space="preserve"> = 2 * Area / Lu</t>
    </r>
  </si>
  <si>
    <t>Luff Roach ±</t>
  </si>
  <si>
    <t>Leech2 Roach ±</t>
  </si>
  <si>
    <t>ISAF ERS and/or US Sailing methods of sail measurement apply above, not class rules.  Longest Luff Lengths from Class Rules &amp; Maximum Sail Areas and will be assumed if not provided.  Weight Measured will be lightest boat in Class unless weighed w/inspection.</t>
  </si>
  <si>
    <t>tbd</t>
  </si>
  <si>
    <r>
      <rPr>
        <sz val="10"/>
        <rFont val="Arial"/>
        <family val="2"/>
      </rPr>
      <t>MastCircumference</t>
    </r>
    <r>
      <rPr>
        <sz val="8"/>
        <rFont val="Arial"/>
        <family val="2"/>
      </rPr>
      <t xml:space="preserve"> (</t>
    </r>
    <r>
      <rPr>
        <sz val="8"/>
        <color rgb="FF0000FF"/>
        <rFont val="Arial"/>
        <family val="2"/>
      </rPr>
      <t>rotating</t>
    </r>
    <r>
      <rPr>
        <sz val="8"/>
        <rFont val="Arial"/>
        <family val="2"/>
      </rPr>
      <t>)</t>
    </r>
  </si>
  <si>
    <t>Honda 2.5</t>
  </si>
  <si>
    <t>I certify that my vessel conforms to the configuration indicated above and understand that the bama, orca, certificate will be issued based on this information, valid only for the indicated configuration.</t>
  </si>
  <si>
    <t>Example Measurement</t>
  </si>
  <si>
    <r>
      <t>M</t>
    </r>
    <r>
      <rPr>
        <vertAlign val="superscript"/>
        <sz val="6"/>
        <rFont val="Arial"/>
        <family val="2"/>
      </rPr>
      <t>2</t>
    </r>
  </si>
  <si>
    <r>
      <t>Ft</t>
    </r>
    <r>
      <rPr>
        <vertAlign val="superscript"/>
        <sz val="8"/>
        <rFont val="Arial"/>
        <family val="2"/>
      </rPr>
      <t>2</t>
    </r>
  </si>
  <si>
    <t>2016 Corsair Pulse Mainsail</t>
  </si>
  <si>
    <r>
      <rPr>
        <b/>
        <sz val="10"/>
        <color theme="1"/>
        <rFont val="Arial"/>
        <family val="2"/>
      </rPr>
      <t>1st:</t>
    </r>
    <r>
      <rPr>
        <sz val="10"/>
        <color theme="1"/>
        <rFont val="Arial"/>
        <family val="2"/>
      </rPr>
      <t xml:space="preserve"> </t>
    </r>
    <r>
      <rPr>
        <sz val="11"/>
        <color theme="1"/>
        <rFont val="Arial"/>
        <family val="2"/>
      </rPr>
      <t>Enter</t>
    </r>
    <r>
      <rPr>
        <sz val="12"/>
        <color theme="1"/>
        <rFont val="Arial"/>
        <family val="2"/>
      </rPr>
      <t xml:space="preserve"> </t>
    </r>
    <r>
      <rPr>
        <b/>
        <sz val="12"/>
        <color rgb="FF0000FF"/>
        <rFont val="Arial"/>
        <family val="2"/>
      </rPr>
      <t>Lu</t>
    </r>
    <r>
      <rPr>
        <sz val="12"/>
        <color theme="1"/>
        <rFont val="Arial"/>
        <family val="2"/>
      </rPr>
      <t xml:space="preserve">, </t>
    </r>
    <r>
      <rPr>
        <b/>
        <sz val="12"/>
        <color rgb="FFFF0000"/>
        <rFont val="Arial"/>
        <family val="2"/>
      </rPr>
      <t>Le</t>
    </r>
    <r>
      <rPr>
        <sz val="12"/>
        <color theme="1"/>
        <rFont val="Arial"/>
        <family val="2"/>
      </rPr>
      <t xml:space="preserve">, </t>
    </r>
    <r>
      <rPr>
        <b/>
        <sz val="12"/>
        <color rgb="FF008000"/>
        <rFont val="Arial"/>
        <family val="2"/>
      </rPr>
      <t>Ft</t>
    </r>
  </si>
  <si>
    <r>
      <rPr>
        <b/>
        <sz val="10"/>
        <color theme="1"/>
        <rFont val="Arial"/>
        <family val="2"/>
      </rPr>
      <t>2</t>
    </r>
    <r>
      <rPr>
        <b/>
        <sz val="8"/>
        <color theme="1"/>
        <rFont val="Arial"/>
        <family val="2"/>
      </rPr>
      <t>nd</t>
    </r>
    <r>
      <rPr>
        <sz val="10"/>
        <color theme="1"/>
        <rFont val="Arial"/>
        <family val="2"/>
      </rPr>
      <t>: Enter</t>
    </r>
    <r>
      <rPr>
        <sz val="11"/>
        <color theme="1"/>
        <rFont val="Arial"/>
        <family val="2"/>
      </rPr>
      <t xml:space="preserve"> Head Width with 7/8, 3/4, 1/2 and 1/4 Girths</t>
    </r>
  </si>
  <si>
    <r>
      <rPr>
        <b/>
        <sz val="9"/>
        <color theme="1"/>
        <rFont val="Arial"/>
        <family val="2"/>
      </rPr>
      <t>Measured Area</t>
    </r>
    <r>
      <rPr>
        <sz val="9"/>
        <color theme="1"/>
        <rFont val="Arial"/>
        <family val="2"/>
      </rPr>
      <t xml:space="preserve"> is calculated by the trapezoid formula below, dividing the luff in amounts of 1/4, 1/2, 3/4 and 7/8. </t>
    </r>
  </si>
  <si>
    <r>
      <rPr>
        <b/>
        <sz val="9"/>
        <color theme="1"/>
        <rFont val="Arial"/>
        <family val="2"/>
      </rPr>
      <t>Rated Area</t>
    </r>
    <r>
      <rPr>
        <sz val="9"/>
        <color theme="1"/>
        <rFont val="Arial"/>
        <family val="2"/>
      </rPr>
      <t xml:space="preserve"> is calculated with the actual heights on the luff from the tack point (or H) to points where LE girths are measured.</t>
    </r>
  </si>
  <si>
    <t>Area Below H is Added</t>
  </si>
  <si>
    <t>Color.Code = Estimate RatingsComm, Foot.R</t>
  </si>
  <si>
    <r>
      <t xml:space="preserve">11/03/16: </t>
    </r>
    <r>
      <rPr>
        <sz val="10"/>
        <color theme="1"/>
        <rFont val="Arial"/>
        <family val="2"/>
      </rPr>
      <t xml:space="preserve">Main x </t>
    </r>
    <r>
      <rPr>
        <b/>
        <sz val="10"/>
        <color theme="1"/>
        <rFont val="Arial"/>
        <family val="2"/>
      </rPr>
      <t xml:space="preserve">web page </t>
    </r>
    <r>
      <rPr>
        <b/>
        <sz val="11"/>
        <color theme="1"/>
        <rFont val="Arial"/>
        <family val="2"/>
      </rPr>
      <t>19.1</t>
    </r>
    <r>
      <rPr>
        <b/>
        <sz val="10"/>
        <color theme="1"/>
        <rFont val="Arial"/>
        <family val="2"/>
      </rPr>
      <t>m</t>
    </r>
    <r>
      <rPr>
        <vertAlign val="superscript"/>
        <sz val="6"/>
        <color theme="1"/>
        <rFont val="Arial"/>
        <family val="2"/>
      </rPr>
      <t>2</t>
    </r>
    <r>
      <rPr>
        <sz val="9"/>
        <color theme="1"/>
        <rFont val="Arial"/>
        <family val="2"/>
      </rPr>
      <t xml:space="preserve"> </t>
    </r>
    <r>
      <rPr>
        <b/>
        <sz val="11"/>
        <color theme="1"/>
        <rFont val="Arial"/>
        <family val="2"/>
      </rPr>
      <t>205.8</t>
    </r>
    <r>
      <rPr>
        <b/>
        <sz val="9"/>
        <color theme="1"/>
        <rFont val="Arial"/>
        <family val="2"/>
      </rPr>
      <t>ft</t>
    </r>
    <r>
      <rPr>
        <vertAlign val="superscript"/>
        <sz val="6"/>
        <color theme="1"/>
        <rFont val="Arial"/>
        <family val="2"/>
      </rPr>
      <t>2</t>
    </r>
    <r>
      <rPr>
        <sz val="9"/>
        <color theme="1"/>
        <rFont val="Arial"/>
        <family val="2"/>
      </rPr>
      <t xml:space="preserve"> = </t>
    </r>
    <r>
      <rPr>
        <b/>
        <sz val="9"/>
        <color theme="1"/>
        <rFont val="Arial"/>
        <family val="2"/>
      </rPr>
      <t>ODR Rules</t>
    </r>
    <r>
      <rPr>
        <sz val="9"/>
        <color theme="1"/>
        <rFont val="Arial"/>
        <family val="2"/>
      </rPr>
      <t xml:space="preserve"> </t>
    </r>
  </si>
  <si>
    <r>
      <t xml:space="preserve">12/19/16: </t>
    </r>
    <r>
      <rPr>
        <b/>
        <sz val="10"/>
        <color theme="1"/>
        <rFont val="Arial"/>
        <family val="2"/>
      </rPr>
      <t>Doyle BSG SailPak</t>
    </r>
    <r>
      <rPr>
        <sz val="10"/>
        <color theme="1"/>
        <rFont val="Arial"/>
        <family val="2"/>
      </rPr>
      <t xml:space="preserve"> </t>
    </r>
    <r>
      <rPr>
        <b/>
        <sz val="10"/>
        <color theme="1"/>
        <rFont val="Arial"/>
        <family val="2"/>
      </rPr>
      <t>Measurement Check List Gives All Data</t>
    </r>
  </si>
  <si>
    <r>
      <t xml:space="preserve">01/12/17: </t>
    </r>
    <r>
      <rPr>
        <sz val="10"/>
        <color theme="1"/>
        <rFont val="Arial"/>
        <family val="2"/>
      </rPr>
      <t>Visio.diagram</t>
    </r>
    <r>
      <rPr>
        <sz val="9"/>
        <color theme="1"/>
        <rFont val="Arial"/>
        <family val="2"/>
      </rPr>
      <t xml:space="preserve"> </t>
    </r>
    <r>
      <rPr>
        <sz val="10"/>
        <color theme="1"/>
        <rFont val="Arial"/>
        <family val="2"/>
      </rPr>
      <t xml:space="preserve">LE.chk </t>
    </r>
    <r>
      <rPr>
        <sz val="9"/>
        <color theme="1"/>
        <rFont val="Arial"/>
        <family val="2"/>
      </rPr>
      <t>decrease Luff curve</t>
    </r>
  </si>
  <si>
    <r>
      <t>Calc M</t>
    </r>
    <r>
      <rPr>
        <vertAlign val="superscript"/>
        <sz val="8"/>
        <rFont val="Arial"/>
        <family val="2"/>
      </rPr>
      <t>2</t>
    </r>
  </si>
  <si>
    <t>Doyle Area</t>
  </si>
  <si>
    <t>data entry</t>
  </si>
  <si>
    <t>Pulse v.2</t>
  </si>
  <si>
    <t>v.2</t>
  </si>
  <si>
    <r>
      <t xml:space="preserve">Pulse </t>
    </r>
    <r>
      <rPr>
        <b/>
        <sz val="10"/>
        <color rgb="FF7575FF"/>
        <rFont val="Arial"/>
        <family val="2"/>
      </rPr>
      <t>v.0</t>
    </r>
  </si>
  <si>
    <r>
      <t xml:space="preserve">Le </t>
    </r>
    <r>
      <rPr>
        <sz val="8"/>
        <color rgb="FFFF0000"/>
        <rFont val="Arial"/>
        <family val="2"/>
      </rPr>
      <t>class 9.100</t>
    </r>
  </si>
  <si>
    <t>Ft</t>
  </si>
  <si>
    <r>
      <t xml:space="preserve">MHB </t>
    </r>
    <r>
      <rPr>
        <sz val="8"/>
        <rFont val="Arial"/>
        <family val="2"/>
      </rPr>
      <t>(MGH) Head class 1.050</t>
    </r>
  </si>
  <si>
    <r>
      <t>7/8 MUW</t>
    </r>
    <r>
      <rPr>
        <sz val="8"/>
        <rFont val="Arial"/>
        <family val="2"/>
      </rPr>
      <t xml:space="preserve"> (MGT) class 1.255</t>
    </r>
  </si>
  <si>
    <r>
      <t>3/4 MTW</t>
    </r>
    <r>
      <rPr>
        <sz val="8"/>
        <rFont val="Arial"/>
        <family val="2"/>
      </rPr>
      <t xml:space="preserve"> (MGU) class 1.680</t>
    </r>
  </si>
  <si>
    <r>
      <t>1/2 MHW</t>
    </r>
    <r>
      <rPr>
        <sz val="8"/>
        <rFont val="Arial"/>
        <family val="2"/>
      </rPr>
      <t xml:space="preserve"> (MGM) class 2.125</t>
    </r>
  </si>
  <si>
    <r>
      <t>1/4 MQW</t>
    </r>
    <r>
      <rPr>
        <sz val="8"/>
        <rFont val="Arial"/>
        <family val="2"/>
      </rPr>
      <t xml:space="preserve"> (MGL) class 2.440</t>
    </r>
  </si>
  <si>
    <r>
      <rPr>
        <b/>
        <sz val="10"/>
        <color rgb="FF0000FF"/>
        <rFont val="Arial"/>
        <family val="2"/>
      </rPr>
      <t xml:space="preserve">109.1 / 309.3 Rated Area </t>
    </r>
    <r>
      <rPr>
        <sz val="8"/>
        <rFont val="Arial"/>
        <family val="2"/>
      </rPr>
      <t>+below H Area, Ft.Roach</t>
    </r>
  </si>
  <si>
    <r>
      <rPr>
        <sz val="9"/>
        <color rgb="FF0000FF"/>
        <rFont val="Arial"/>
        <family val="2"/>
      </rPr>
      <t xml:space="preserve">109.1 Area </t>
    </r>
    <r>
      <rPr>
        <sz val="8"/>
        <color rgb="FF0000FF"/>
        <rFont val="Arial"/>
        <family val="2"/>
      </rPr>
      <t>m</t>
    </r>
    <r>
      <rPr>
        <vertAlign val="superscript"/>
        <sz val="6"/>
        <color rgb="FF0000FF"/>
        <rFont val="Arial"/>
        <family val="2"/>
      </rPr>
      <t>2</t>
    </r>
    <r>
      <rPr>
        <sz val="8"/>
        <color rgb="FF0000FF"/>
        <rFont val="Arial"/>
        <family val="2"/>
      </rPr>
      <t xml:space="preserve"> </t>
    </r>
    <r>
      <rPr>
        <sz val="8"/>
        <rFont val="Arial"/>
        <family val="2"/>
      </rPr>
      <t>x LE Girth using LU.1 x H</t>
    </r>
  </si>
  <si>
    <r>
      <rPr>
        <b/>
        <sz val="9"/>
        <rFont val="Arial"/>
        <family val="2"/>
      </rPr>
      <t xml:space="preserve">MGMH </t>
    </r>
    <r>
      <rPr>
        <sz val="8"/>
        <rFont val="Arial"/>
        <family val="2"/>
      </rPr>
      <t>= P/2+(MGM-E/2)/P*E</t>
    </r>
  </si>
  <si>
    <r>
      <rPr>
        <b/>
        <sz val="9"/>
        <rFont val="Arial"/>
        <family val="2"/>
      </rPr>
      <t xml:space="preserve">MGLH </t>
    </r>
    <r>
      <rPr>
        <sz val="8"/>
        <rFont val="Arial"/>
        <family val="2"/>
      </rPr>
      <t>= MGMH/2+(MGL-(E+MGM )/2)*(E-MGM)/MGMH</t>
    </r>
  </si>
  <si>
    <r>
      <rPr>
        <b/>
        <sz val="9"/>
        <rFont val="Arial"/>
        <family val="2"/>
      </rPr>
      <t xml:space="preserve">MGUH </t>
    </r>
    <r>
      <rPr>
        <sz val="8"/>
        <rFont val="Arial"/>
        <family val="2"/>
      </rPr>
      <t>= (MGMH+P)/2+(MGU-MGM/2)*MGM/(P-MGMH)</t>
    </r>
  </si>
  <si>
    <r>
      <rPr>
        <b/>
        <sz val="9"/>
        <rFont val="Arial"/>
        <family val="2"/>
      </rPr>
      <t xml:space="preserve">MGTH </t>
    </r>
    <r>
      <rPr>
        <sz val="8"/>
        <rFont val="Arial"/>
        <family val="2"/>
      </rPr>
      <t>= (MGUH+P)/2+(MGT-MGU/2)*MGU/(P-MGUH)</t>
    </r>
  </si>
  <si>
    <r>
      <rPr>
        <b/>
        <sz val="9"/>
        <color rgb="FF0000FF"/>
        <rFont val="Arial"/>
        <family val="2"/>
      </rPr>
      <t xml:space="preserve">109.1 / 309.3 Measured Area </t>
    </r>
    <r>
      <rPr>
        <sz val="8"/>
        <rFont val="Arial"/>
        <family val="2"/>
      </rPr>
      <t>+below H,Ft.Roach</t>
    </r>
  </si>
  <si>
    <r>
      <rPr>
        <sz val="9"/>
        <color rgb="FF0000FF"/>
        <rFont val="Arial"/>
        <family val="2"/>
      </rPr>
      <t>LU Girths Area m</t>
    </r>
    <r>
      <rPr>
        <vertAlign val="superscript"/>
        <sz val="6"/>
        <color rgb="FF0000FF"/>
        <rFont val="Arial"/>
        <family val="2"/>
      </rPr>
      <t>2</t>
    </r>
    <r>
      <rPr>
        <sz val="9"/>
        <rFont val="Arial"/>
        <family val="2"/>
      </rPr>
      <t xml:space="preserve"> </t>
    </r>
    <r>
      <rPr>
        <sz val="8"/>
        <rFont val="Arial"/>
        <family val="2"/>
      </rPr>
      <t>using LU.1 x H</t>
    </r>
  </si>
  <si>
    <r>
      <t xml:space="preserve">P </t>
    </r>
    <r>
      <rPr>
        <sz val="9"/>
        <color rgb="FF0000FF"/>
        <rFont val="Arial"/>
        <family val="2"/>
      </rPr>
      <t>use Lu.1</t>
    </r>
  </si>
  <si>
    <r>
      <t xml:space="preserve">E foot uses </t>
    </r>
    <r>
      <rPr>
        <b/>
        <sz val="9"/>
        <rFont val="Arial"/>
        <family val="2"/>
      </rPr>
      <t>H</t>
    </r>
  </si>
  <si>
    <t xml:space="preserve">Area Below H </t>
  </si>
  <si>
    <t>Lu.1</t>
  </si>
  <si>
    <t>Lu.2</t>
  </si>
  <si>
    <t>Foot</t>
  </si>
  <si>
    <t>Ft.Roach</t>
  </si>
  <si>
    <r>
      <rPr>
        <b/>
        <sz val="9"/>
        <rFont val="Arial"/>
        <family val="2"/>
      </rPr>
      <t xml:space="preserve">H </t>
    </r>
    <r>
      <rPr>
        <sz val="9"/>
        <rFont val="Arial"/>
        <family val="2"/>
      </rPr>
      <t xml:space="preserve">= </t>
    </r>
    <r>
      <rPr>
        <sz val="8"/>
        <rFont val="Arial"/>
        <family val="2"/>
      </rPr>
      <t xml:space="preserve">(Triangle Area.Lu.Le.Ft ) / Lu*2 </t>
    </r>
  </si>
  <si>
    <t>Triangle Area x Lu Le Ft</t>
  </si>
  <si>
    <t>S = 1/2 (a + b + c) {a=Lu b=Le c=Ft}</t>
  </si>
  <si>
    <t>Triangle.Area = (s*(s-a)*(s-b)*(s-c))^0.5</t>
  </si>
  <si>
    <t>LPM</t>
  </si>
  <si>
    <r>
      <t>Below H1 Diff m</t>
    </r>
    <r>
      <rPr>
        <vertAlign val="superscript"/>
        <sz val="8"/>
        <rFont val="Arial"/>
        <family val="2"/>
      </rPr>
      <t>2</t>
    </r>
  </si>
  <si>
    <r>
      <t>Below H1 Diff ft</t>
    </r>
    <r>
      <rPr>
        <vertAlign val="superscript"/>
        <sz val="8"/>
        <rFont val="Arial"/>
        <family val="2"/>
      </rPr>
      <t>2</t>
    </r>
  </si>
  <si>
    <t>Le2 (leech aft)</t>
  </si>
  <si>
    <r>
      <rPr>
        <b/>
        <sz val="9"/>
        <color indexed="12"/>
        <rFont val="Arial"/>
        <family val="2"/>
      </rPr>
      <t>109.1 LE Girths</t>
    </r>
    <r>
      <rPr>
        <sz val="9"/>
        <color indexed="12"/>
        <rFont val="Arial"/>
        <family val="2"/>
      </rPr>
      <t xml:space="preserve"> Correction on Trapezoid Area (ORC.2016)</t>
    </r>
  </si>
  <si>
    <r>
      <rPr>
        <b/>
        <sz val="9"/>
        <color indexed="12"/>
        <rFont val="Arial"/>
        <family val="2"/>
      </rPr>
      <t>309.3 LE Girths</t>
    </r>
    <r>
      <rPr>
        <sz val="9"/>
        <color indexed="12"/>
        <rFont val="Arial"/>
        <family val="2"/>
      </rPr>
      <t xml:space="preserve"> Correction on Trapezoid Area (HPR.2016)</t>
    </r>
  </si>
  <si>
    <r>
      <rPr>
        <b/>
        <sz val="8"/>
        <color indexed="12"/>
        <rFont val="Arial"/>
        <family val="2"/>
      </rPr>
      <t xml:space="preserve">16.7 LE Girth </t>
    </r>
    <r>
      <rPr>
        <sz val="8"/>
        <color indexed="12"/>
        <rFont val="Arial"/>
        <family val="2"/>
      </rPr>
      <t>Corrections on Trapezoid Area (HPR 2013)</t>
    </r>
  </si>
  <si>
    <r>
      <rPr>
        <b/>
        <sz val="8"/>
        <color indexed="12"/>
        <rFont val="Arial"/>
        <family val="2"/>
      </rPr>
      <t xml:space="preserve">16.4 LU Girth </t>
    </r>
    <r>
      <rPr>
        <sz val="8"/>
        <color indexed="12"/>
        <rFont val="Arial"/>
        <family val="2"/>
      </rPr>
      <t>Trapezoid Equation x Ht. =0.25, 0.50 0.75, 0.875, 1.00</t>
    </r>
  </si>
  <si>
    <t xml:space="preserve">Efficiency Main (EFM): </t>
  </si>
  <si>
    <t xml:space="preserve">EFM uses LPM (Le.Perp to Tack @ H ) to set sail efficiency.  </t>
  </si>
  <si>
    <t>EFM Texel.NDL x H, EFM Texel.AUS 2012 x LPM</t>
  </si>
  <si>
    <t>Area Below H = (1/2 *S1.2 *H1) + Ft.Roach</t>
  </si>
  <si>
    <t>LU.2 = (E^2-H1^2)^0.5</t>
  </si>
  <si>
    <t>LPM = (P.1*H1)/((P.1^2+H1^2)^0.5)</t>
  </si>
  <si>
    <r>
      <t>LE auto.calc (Lu</t>
    </r>
    <r>
      <rPr>
        <vertAlign val="superscript"/>
        <sz val="9"/>
        <color theme="1" tint="0.499984740745262"/>
        <rFont val="Arial"/>
        <family val="2"/>
      </rPr>
      <t>^2</t>
    </r>
    <r>
      <rPr>
        <sz val="9"/>
        <color theme="1" tint="0.499984740745262"/>
        <rFont val="Arial"/>
        <family val="2"/>
      </rPr>
      <t xml:space="preserve"> + Ft</t>
    </r>
    <r>
      <rPr>
        <vertAlign val="superscript"/>
        <sz val="9"/>
        <color theme="1" tint="0.499984740745262"/>
        <rFont val="Arial"/>
        <family val="2"/>
      </rPr>
      <t>^2</t>
    </r>
    <r>
      <rPr>
        <sz val="9"/>
        <color theme="1" tint="0.499984740745262"/>
        <rFont val="Arial"/>
        <family val="2"/>
      </rPr>
      <t xml:space="preserve">) </t>
    </r>
    <r>
      <rPr>
        <vertAlign val="superscript"/>
        <sz val="9"/>
        <color theme="1" tint="0.499984740745262"/>
        <rFont val="Arial"/>
        <family val="2"/>
      </rPr>
      <t>^0.5</t>
    </r>
  </si>
  <si>
    <t xml:space="preserve">Corsair Pulse 600 Jib ≈ </t>
  </si>
  <si>
    <r>
      <t xml:space="preserve">12/19/16: </t>
    </r>
    <r>
      <rPr>
        <b/>
        <sz val="10"/>
        <rFont val="Arial"/>
        <family val="2"/>
      </rPr>
      <t>Doyle BSG SailPak</t>
    </r>
    <r>
      <rPr>
        <sz val="10"/>
        <rFont val="Arial"/>
        <family val="2"/>
      </rPr>
      <t xml:space="preserve"> Measurement </t>
    </r>
    <r>
      <rPr>
        <b/>
        <sz val="10"/>
        <rFont val="Arial"/>
        <family val="2"/>
      </rPr>
      <t>Check List Gives Data</t>
    </r>
    <r>
      <rPr>
        <sz val="10"/>
        <rFont val="Arial"/>
        <family val="2"/>
      </rPr>
      <t>, missing Foot.Roach</t>
    </r>
  </si>
  <si>
    <r>
      <rPr>
        <b/>
        <sz val="10"/>
        <rFont val="Arial"/>
        <family val="2"/>
      </rPr>
      <t>LP</t>
    </r>
    <r>
      <rPr>
        <sz val="10"/>
        <rFont val="Arial"/>
        <family val="2"/>
      </rPr>
      <t xml:space="preserve"> is an Arc to the neares point on the Luff; </t>
    </r>
    <r>
      <rPr>
        <b/>
        <sz val="10"/>
        <rFont val="Arial"/>
        <family val="2"/>
      </rPr>
      <t>H</t>
    </r>
    <r>
      <rPr>
        <sz val="10"/>
        <rFont val="Arial"/>
        <family val="2"/>
      </rPr>
      <t xml:space="preserve"> fits from the Clew to the Luff straight line</t>
    </r>
  </si>
  <si>
    <r>
      <rPr>
        <b/>
        <sz val="10"/>
        <color indexed="12"/>
        <rFont val="Arial"/>
        <family val="2"/>
      </rPr>
      <t>7.594</t>
    </r>
    <r>
      <rPr>
        <sz val="10"/>
        <color indexed="12"/>
        <rFont val="Arial"/>
        <family val="2"/>
      </rPr>
      <t xml:space="preserve"> m</t>
    </r>
    <r>
      <rPr>
        <vertAlign val="superscript"/>
        <sz val="6"/>
        <color indexed="12"/>
        <rFont val="Arial"/>
        <family val="2"/>
      </rPr>
      <t>2</t>
    </r>
    <r>
      <rPr>
        <sz val="10"/>
        <color indexed="12"/>
        <rFont val="Arial"/>
        <family val="2"/>
      </rPr>
      <t xml:space="preserve"> x </t>
    </r>
    <r>
      <rPr>
        <b/>
        <sz val="10"/>
        <color indexed="12"/>
        <rFont val="Arial"/>
        <family val="2"/>
      </rPr>
      <t>Doyle</t>
    </r>
  </si>
  <si>
    <r>
      <rPr>
        <b/>
        <sz val="10"/>
        <color indexed="12"/>
        <rFont val="Arial"/>
        <family val="2"/>
      </rPr>
      <t>7.594</t>
    </r>
    <r>
      <rPr>
        <sz val="10"/>
        <color indexed="12"/>
        <rFont val="Arial"/>
        <family val="2"/>
      </rPr>
      <t>m</t>
    </r>
    <r>
      <rPr>
        <vertAlign val="superscript"/>
        <sz val="6"/>
        <color indexed="12"/>
        <rFont val="Arial"/>
        <family val="2"/>
      </rPr>
      <t>2</t>
    </r>
    <r>
      <rPr>
        <sz val="10"/>
        <color indexed="12"/>
        <rFont val="Arial"/>
        <family val="2"/>
      </rPr>
      <t xml:space="preserve"> x UMS </t>
    </r>
    <r>
      <rPr>
        <b/>
        <sz val="10"/>
        <color indexed="12"/>
        <rFont val="Arial"/>
        <family val="2"/>
      </rPr>
      <t>Foot.Roach = 0</t>
    </r>
  </si>
  <si>
    <r>
      <rPr>
        <b/>
        <sz val="10"/>
        <color indexed="12"/>
        <rFont val="Arial"/>
        <family val="2"/>
      </rPr>
      <t>7.73</t>
    </r>
    <r>
      <rPr>
        <sz val="10"/>
        <color indexed="12"/>
        <rFont val="Arial"/>
        <family val="2"/>
      </rPr>
      <t xml:space="preserve"> m</t>
    </r>
    <r>
      <rPr>
        <vertAlign val="superscript"/>
        <sz val="6"/>
        <color indexed="12"/>
        <rFont val="Arial"/>
        <family val="2"/>
      </rPr>
      <t>2</t>
    </r>
    <r>
      <rPr>
        <sz val="10"/>
        <color indexed="12"/>
        <rFont val="Arial"/>
        <family val="2"/>
      </rPr>
      <t xml:space="preserve"> x UMS </t>
    </r>
    <r>
      <rPr>
        <b/>
        <sz val="10"/>
        <color indexed="12"/>
        <rFont val="Arial"/>
        <family val="2"/>
      </rPr>
      <t>Foot.Roach = 0.01m ≈ 4 "</t>
    </r>
    <r>
      <rPr>
        <sz val="10"/>
        <color indexed="12"/>
        <rFont val="Arial"/>
        <family val="2"/>
      </rPr>
      <t xml:space="preserve"> defined by Foot Median</t>
    </r>
  </si>
  <si>
    <r>
      <rPr>
        <sz val="10"/>
        <color rgb="FF0000FF"/>
        <rFont val="Arial"/>
        <family val="2"/>
      </rPr>
      <t>Color.Code</t>
    </r>
    <r>
      <rPr>
        <sz val="10"/>
        <color rgb="FF7575FF"/>
        <rFont val="Arial"/>
        <family val="2"/>
      </rPr>
      <t xml:space="preserve"> =</t>
    </r>
    <r>
      <rPr>
        <sz val="9"/>
        <color rgb="FF7575FF"/>
        <rFont val="Arial"/>
        <family val="2"/>
      </rPr>
      <t xml:space="preserve"> Estimate RatingsComm</t>
    </r>
  </si>
  <si>
    <r>
      <t>US Sailing UMS</t>
    </r>
    <r>
      <rPr>
        <sz val="9"/>
        <color indexed="12"/>
        <rFont val="Arial"/>
        <family val="2"/>
      </rPr>
      <t xml:space="preserve"> (ORC HPR)</t>
    </r>
  </si>
  <si>
    <t>Imperial</t>
  </si>
  <si>
    <r>
      <t xml:space="preserve">Jib </t>
    </r>
    <r>
      <rPr>
        <b/>
        <sz val="9"/>
        <color rgb="FF0000FF"/>
        <rFont val="Arial"/>
        <family val="2"/>
      </rPr>
      <t>Pulse 2016 North</t>
    </r>
  </si>
  <si>
    <r>
      <t xml:space="preserve">Luff </t>
    </r>
    <r>
      <rPr>
        <sz val="8"/>
        <rFont val="Arial"/>
        <family val="2"/>
      </rPr>
      <t>class 8.11</t>
    </r>
  </si>
  <si>
    <r>
      <t>LP</t>
    </r>
    <r>
      <rPr>
        <sz val="8"/>
        <rFont val="Arial"/>
        <family val="2"/>
      </rPr>
      <t xml:space="preserve"> class 1.96</t>
    </r>
  </si>
  <si>
    <r>
      <t>HHB</t>
    </r>
    <r>
      <rPr>
        <sz val="9"/>
        <rFont val="Arial"/>
        <family val="2"/>
      </rPr>
      <t xml:space="preserve"> </t>
    </r>
    <r>
      <rPr>
        <sz val="8"/>
        <rFont val="Arial"/>
        <family val="2"/>
      </rPr>
      <t>(JH) Head: class 0.040</t>
    </r>
  </si>
  <si>
    <t>HGT=(HHB + HTW)/2</t>
  </si>
  <si>
    <t>HTW=(HHW+HHB)/2</t>
  </si>
  <si>
    <r>
      <rPr>
        <sz val="10"/>
        <rFont val="Arial"/>
        <family val="2"/>
      </rPr>
      <t>1/2 HHW</t>
    </r>
    <r>
      <rPr>
        <sz val="9"/>
        <rFont val="Arial"/>
        <family val="2"/>
      </rPr>
      <t xml:space="preserve"> </t>
    </r>
    <r>
      <rPr>
        <sz val="8"/>
        <rFont val="Arial"/>
        <family val="2"/>
      </rPr>
      <t>(JGM)</t>
    </r>
    <r>
      <rPr>
        <sz val="9"/>
        <rFont val="Arial"/>
        <family val="2"/>
      </rPr>
      <t xml:space="preserve">: </t>
    </r>
    <r>
      <rPr>
        <sz val="8"/>
        <rFont val="Arial"/>
        <family val="2"/>
      </rPr>
      <t>class 0.900</t>
    </r>
  </si>
  <si>
    <t>HQW = (LP + HHW)/2</t>
  </si>
  <si>
    <r>
      <t xml:space="preserve">Foot: </t>
    </r>
    <r>
      <rPr>
        <sz val="8"/>
        <rFont val="Arial"/>
        <family val="2"/>
      </rPr>
      <t>class 2.110</t>
    </r>
  </si>
  <si>
    <r>
      <t>Ft Roach</t>
    </r>
    <r>
      <rPr>
        <sz val="8"/>
        <rFont val="Arial"/>
        <family val="2"/>
      </rPr>
      <t xml:space="preserve"> (Median 7.819-&gt;Ft.R)</t>
    </r>
  </si>
  <si>
    <r>
      <t xml:space="preserve">JLE </t>
    </r>
    <r>
      <rPr>
        <sz val="9"/>
        <rFont val="Arial"/>
        <family val="2"/>
      </rPr>
      <t>Leech:</t>
    </r>
    <r>
      <rPr>
        <sz val="10"/>
        <rFont val="Arial"/>
        <family val="2"/>
      </rPr>
      <t xml:space="preserve"> </t>
    </r>
    <r>
      <rPr>
        <sz val="8"/>
        <rFont val="Arial"/>
        <family val="2"/>
      </rPr>
      <t>class 7.460</t>
    </r>
  </si>
  <si>
    <r>
      <t xml:space="preserve">0.1125× JL× (1.445× LPG + 2× JGL + 2× JGM +1.5× JGU + JGT + 0.5× JH) </t>
    </r>
    <r>
      <rPr>
        <sz val="8"/>
        <color rgb="FF008000"/>
        <rFont val="Arial"/>
        <family val="2"/>
      </rPr>
      <t>±Ft.Roach</t>
    </r>
  </si>
  <si>
    <r>
      <t xml:space="preserve">Foot Median </t>
    </r>
    <r>
      <rPr>
        <sz val="8"/>
        <rFont val="Arial"/>
        <family val="2"/>
      </rPr>
      <t>class 7.85m</t>
    </r>
  </si>
  <si>
    <t>Texel.AUS, Texel.NDL, SCHRS</t>
  </si>
  <si>
    <r>
      <rPr>
        <b/>
        <sz val="10"/>
        <rFont val="Arial"/>
        <family val="2"/>
      </rPr>
      <t>Luff</t>
    </r>
    <r>
      <rPr>
        <sz val="10"/>
        <rFont val="Arial"/>
        <family val="2"/>
      </rPr>
      <t xml:space="preserve"> </t>
    </r>
    <r>
      <rPr>
        <sz val="8"/>
        <rFont val="Arial"/>
        <family val="2"/>
      </rPr>
      <t>class 8.11</t>
    </r>
  </si>
  <si>
    <r>
      <rPr>
        <b/>
        <sz val="10"/>
        <rFont val="Arial"/>
        <family val="2"/>
      </rPr>
      <t>LP</t>
    </r>
    <r>
      <rPr>
        <sz val="8"/>
        <rFont val="Arial"/>
        <family val="2"/>
      </rPr>
      <t xml:space="preserve"> class 1.96, Decl 1.934 </t>
    </r>
    <r>
      <rPr>
        <sz val="10"/>
        <rFont val="Arial"/>
        <family val="2"/>
      </rPr>
      <t>&gt;</t>
    </r>
    <r>
      <rPr>
        <sz val="8"/>
        <rFont val="Arial"/>
        <family val="2"/>
      </rPr>
      <t xml:space="preserve"> </t>
    </r>
    <r>
      <rPr>
        <b/>
        <sz val="10"/>
        <rFont val="Arial"/>
        <family val="2"/>
      </rPr>
      <t>H =</t>
    </r>
  </si>
  <si>
    <r>
      <t xml:space="preserve">JLE </t>
    </r>
    <r>
      <rPr>
        <sz val="9"/>
        <rFont val="Arial"/>
        <family val="2"/>
      </rPr>
      <t>Leech:</t>
    </r>
    <r>
      <rPr>
        <sz val="10"/>
        <rFont val="Arial"/>
        <family val="2"/>
      </rPr>
      <t xml:space="preserve"> </t>
    </r>
    <r>
      <rPr>
        <sz val="8"/>
        <rFont val="Arial"/>
        <family val="2"/>
      </rPr>
      <t>class 7.46</t>
    </r>
  </si>
  <si>
    <r>
      <t xml:space="preserve">Foot: </t>
    </r>
    <r>
      <rPr>
        <sz val="8"/>
        <rFont val="Arial"/>
        <family val="2"/>
      </rPr>
      <t>class 2.11</t>
    </r>
  </si>
  <si>
    <t>Visio mm</t>
  </si>
  <si>
    <t>LE.R Solve to = Area</t>
  </si>
  <si>
    <r>
      <t>Ft Roach ±</t>
    </r>
    <r>
      <rPr>
        <sz val="8"/>
        <rFont val="Arial"/>
        <family val="2"/>
      </rPr>
      <t xml:space="preserve"> (Median 7.819-&gt;Ft.R)</t>
    </r>
  </si>
  <si>
    <r>
      <rPr>
        <b/>
        <sz val="8"/>
        <color theme="1"/>
        <rFont val="Arial"/>
        <family val="2"/>
      </rPr>
      <t xml:space="preserve">LE.R </t>
    </r>
    <r>
      <rPr>
        <sz val="8"/>
        <color theme="1"/>
        <rFont val="Arial"/>
        <family val="2"/>
      </rPr>
      <t>Diagram</t>
    </r>
  </si>
  <si>
    <t>LE Triangle S = 1/2 ( LE.1 + LE.2 + HHB)</t>
  </si>
  <si>
    <r>
      <t xml:space="preserve">Area x Perimeter (Lu </t>
    </r>
    <r>
      <rPr>
        <b/>
        <sz val="10"/>
        <color rgb="FFFF0000"/>
        <rFont val="Arial"/>
        <family val="2"/>
      </rPr>
      <t>Le</t>
    </r>
    <r>
      <rPr>
        <b/>
        <sz val="10"/>
        <color indexed="12"/>
        <rFont val="Arial"/>
        <family val="2"/>
      </rPr>
      <t xml:space="preserve"> </t>
    </r>
    <r>
      <rPr>
        <b/>
        <sz val="10"/>
        <color rgb="FF008000"/>
        <rFont val="Arial"/>
        <family val="2"/>
      </rPr>
      <t>Ft</t>
    </r>
    <r>
      <rPr>
        <b/>
        <sz val="10"/>
        <color indexed="12"/>
        <rFont val="Arial"/>
        <family val="2"/>
      </rPr>
      <t>)</t>
    </r>
  </si>
  <si>
    <r>
      <rPr>
        <b/>
        <sz val="10"/>
        <rFont val="Arial"/>
        <family val="2"/>
      </rPr>
      <t xml:space="preserve">JIB </t>
    </r>
    <r>
      <rPr>
        <sz val="10"/>
        <rFont val="Arial"/>
        <family val="2"/>
      </rPr>
      <t>Triangle Area</t>
    </r>
  </si>
  <si>
    <r>
      <rPr>
        <sz val="10"/>
        <rFont val="Arial"/>
        <family val="2"/>
      </rPr>
      <t>S</t>
    </r>
    <r>
      <rPr>
        <sz val="8"/>
        <rFont val="Arial"/>
        <family val="2"/>
      </rPr>
      <t xml:space="preserve"> = 1/2 (a + b + c)</t>
    </r>
  </si>
  <si>
    <t>Area = (s*(s-a)*(s-b)*(s-c))^0.5</t>
  </si>
  <si>
    <r>
      <rPr>
        <b/>
        <sz val="10"/>
        <rFont val="Arial"/>
        <family val="2"/>
      </rPr>
      <t>H</t>
    </r>
    <r>
      <rPr>
        <b/>
        <sz val="8"/>
        <rFont val="Arial"/>
        <family val="2"/>
      </rPr>
      <t xml:space="preserve"> =</t>
    </r>
    <r>
      <rPr>
        <sz val="8"/>
        <rFont val="Arial"/>
        <family val="2"/>
      </rPr>
      <t xml:space="preserve"> ( 2 * Area / Lu ) ≠ LP</t>
    </r>
  </si>
  <si>
    <t>Example Measurements</t>
  </si>
  <si>
    <t>Pulse 600 : asym</t>
  </si>
  <si>
    <t>Class Maximum Dimensions</t>
  </si>
  <si>
    <r>
      <rPr>
        <b/>
        <sz val="11"/>
        <color rgb="FF0000FF"/>
        <rFont val="Arial"/>
        <family val="2"/>
      </rPr>
      <t>ft</t>
    </r>
    <r>
      <rPr>
        <b/>
        <vertAlign val="superscript"/>
        <sz val="11"/>
        <color rgb="FF0000FF"/>
        <rFont val="Arial"/>
        <family val="2"/>
      </rPr>
      <t>2</t>
    </r>
  </si>
  <si>
    <t>Measured</t>
  </si>
  <si>
    <t>Class Rule ½ Width (SMG) &gt; 75% assumed therefore a Spinnaker; Sail ≠ Jib, Genoa, Gennaker, Screecher</t>
  </si>
  <si>
    <t>01/14/17: measured at Treasure Island Sailing Club "on the dock" SLU 30'+, SLE 27'5" SLF 14'7" SHW 13'11"</t>
  </si>
  <si>
    <t>Dims Metric x Class Rules ( 2 equations, same answer)</t>
  </si>
  <si>
    <r>
      <rPr>
        <b/>
        <sz val="8"/>
        <rFont val="Arial"/>
        <family val="2"/>
      </rPr>
      <t>CSPI</t>
    </r>
    <r>
      <rPr>
        <sz val="8"/>
        <rFont val="Arial"/>
        <family val="2"/>
      </rPr>
      <t xml:space="preserve"> = (SLU+SLE) x .25 x ASF + (ASMG-.5ASF) x (SLU+SLE)/3</t>
    </r>
  </si>
  <si>
    <r>
      <rPr>
        <b/>
        <sz val="8"/>
        <rFont val="Arial"/>
        <family val="2"/>
      </rPr>
      <t>SA</t>
    </r>
    <r>
      <rPr>
        <sz val="8"/>
        <rFont val="Arial"/>
        <family val="2"/>
      </rPr>
      <t xml:space="preserve"> = (Luff+Leech)*(Foot + 4*Mid Girth) / 12</t>
    </r>
  </si>
  <si>
    <t xml:space="preserve">CSPI= </t>
  </si>
  <si>
    <t>Area:</t>
  </si>
  <si>
    <r>
      <t xml:space="preserve">SLU </t>
    </r>
    <r>
      <rPr>
        <sz val="8"/>
        <rFont val="Arial"/>
        <family val="2"/>
      </rPr>
      <t>class 9.45</t>
    </r>
    <r>
      <rPr>
        <sz val="8"/>
        <color rgb="FFFF0000"/>
        <rFont val="Arial"/>
        <family val="2"/>
      </rPr>
      <t xml:space="preserve"> (luff tape perimeter) 30'1/4"</t>
    </r>
  </si>
  <si>
    <r>
      <t>SLE</t>
    </r>
    <r>
      <rPr>
        <sz val="8"/>
        <rFont val="Arial"/>
        <family val="2"/>
      </rPr>
      <t xml:space="preserve"> class 9.45</t>
    </r>
    <r>
      <rPr>
        <sz val="8"/>
        <color rgb="FF008000"/>
        <rFont val="Arial"/>
        <family val="2"/>
      </rPr>
      <t xml:space="preserve"> (leech perimeter) 27'5"</t>
    </r>
  </si>
  <si>
    <r>
      <t>SHW</t>
    </r>
    <r>
      <rPr>
        <sz val="8"/>
        <rFont val="Arial"/>
        <family val="2"/>
      </rPr>
      <t xml:space="preserve"> class 4.28 () 13'11"</t>
    </r>
  </si>
  <si>
    <r>
      <t>SF</t>
    </r>
    <r>
      <rPr>
        <sz val="8"/>
        <rFont val="Arial"/>
        <family val="2"/>
      </rPr>
      <t xml:space="preserve"> class 9.45 </t>
    </r>
    <r>
      <rPr>
        <sz val="8"/>
        <color rgb="FF0000FF"/>
        <rFont val="Arial"/>
        <family val="2"/>
      </rPr>
      <t>(foot.perimeter) 14'7"</t>
    </r>
  </si>
  <si>
    <t xml:space="preserve">SA= </t>
  </si>
  <si>
    <r>
      <t xml:space="preserve">SLU </t>
    </r>
    <r>
      <rPr>
        <sz val="8"/>
        <rFont val="Arial"/>
        <family val="2"/>
      </rPr>
      <t>class 9.45</t>
    </r>
    <r>
      <rPr>
        <sz val="8"/>
        <color rgb="FFFF0000"/>
        <rFont val="Arial"/>
        <family val="2"/>
      </rPr>
      <t xml:space="preserve"> (luff tape perimeter)</t>
    </r>
    <r>
      <rPr>
        <sz val="8"/>
        <rFont val="Arial"/>
        <family val="2"/>
      </rPr>
      <t xml:space="preserve"> </t>
    </r>
  </si>
  <si>
    <r>
      <t>SLE</t>
    </r>
    <r>
      <rPr>
        <sz val="8"/>
        <rFont val="Arial"/>
        <family val="2"/>
      </rPr>
      <t xml:space="preserve"> class 9.45</t>
    </r>
    <r>
      <rPr>
        <sz val="8"/>
        <color rgb="FF008000"/>
        <rFont val="Arial"/>
        <family val="2"/>
      </rPr>
      <t xml:space="preserve"> (leech perimeter)</t>
    </r>
  </si>
  <si>
    <r>
      <t>SMG</t>
    </r>
    <r>
      <rPr>
        <sz val="8"/>
        <rFont val="Arial"/>
        <family val="2"/>
      </rPr>
      <t xml:space="preserve"> class 4.28</t>
    </r>
  </si>
  <si>
    <r>
      <t>SF</t>
    </r>
    <r>
      <rPr>
        <sz val="8"/>
        <rFont val="Arial"/>
        <family val="2"/>
      </rPr>
      <t xml:space="preserve"> class 9.45 </t>
    </r>
    <r>
      <rPr>
        <sz val="8"/>
        <color rgb="FF0000FF"/>
        <rFont val="Arial"/>
        <family val="2"/>
      </rPr>
      <t>(foot.perimeter)</t>
    </r>
  </si>
  <si>
    <t>CSPI</t>
  </si>
  <si>
    <t>Spin SA</t>
  </si>
  <si>
    <r>
      <t>MAIN</t>
    </r>
    <r>
      <rPr>
        <sz val="11"/>
        <color rgb="FF0000FF"/>
        <rFont val="Arial"/>
        <family val="2"/>
      </rPr>
      <t xml:space="preserve"> x Mack Sails</t>
    </r>
  </si>
  <si>
    <r>
      <t>M</t>
    </r>
    <r>
      <rPr>
        <vertAlign val="superscript"/>
        <sz val="6"/>
        <color theme="1"/>
        <rFont val="Arial"/>
        <family val="2"/>
      </rPr>
      <t>2</t>
    </r>
  </si>
  <si>
    <r>
      <t>Ft</t>
    </r>
    <r>
      <rPr>
        <vertAlign val="superscript"/>
        <sz val="6"/>
        <color theme="1"/>
        <rFont val="Arial"/>
        <family val="2"/>
      </rPr>
      <t>2</t>
    </r>
  </si>
  <si>
    <t>C-24 Mark II Class Main</t>
  </si>
  <si>
    <r>
      <rPr>
        <b/>
        <sz val="10"/>
        <color theme="1"/>
        <rFont val="Arial"/>
        <family val="2"/>
      </rPr>
      <t>2</t>
    </r>
    <r>
      <rPr>
        <b/>
        <sz val="8"/>
        <color theme="1"/>
        <rFont val="Arial"/>
        <family val="2"/>
      </rPr>
      <t>nd</t>
    </r>
    <r>
      <rPr>
        <sz val="10"/>
        <color theme="1"/>
        <rFont val="Arial"/>
        <family val="2"/>
      </rPr>
      <t>: Enter</t>
    </r>
    <r>
      <rPr>
        <sz val="11"/>
        <color theme="1"/>
        <rFont val="Arial"/>
        <family val="2"/>
      </rPr>
      <t xml:space="preserve"> Head Width with 7/8, 3/4, 1/2 and 1/4 Widths</t>
    </r>
  </si>
  <si>
    <r>
      <rPr>
        <b/>
        <sz val="11"/>
        <color theme="1"/>
        <rFont val="Arial"/>
        <family val="2"/>
      </rPr>
      <t>Measured Area</t>
    </r>
    <r>
      <rPr>
        <sz val="10"/>
        <color theme="1"/>
        <rFont val="Arial"/>
        <family val="2"/>
      </rPr>
      <t xml:space="preserve"> is calculated by the trapezoid formula below, dividing the luff in amounts of 1/4, 1/2, 3/4 and 7/8. </t>
    </r>
  </si>
  <si>
    <r>
      <rPr>
        <b/>
        <sz val="11"/>
        <color theme="1"/>
        <rFont val="Arial"/>
        <family val="2"/>
      </rPr>
      <t>Rated Area</t>
    </r>
    <r>
      <rPr>
        <sz val="10"/>
        <color theme="1"/>
        <rFont val="Arial"/>
        <family val="2"/>
      </rPr>
      <t xml:space="preserve"> is calculated with the actual heights on the luff from the tack point (or H) to points where LE girths are measured.</t>
    </r>
  </si>
  <si>
    <t>12/28/98: Main 243 Corsair Marine pdf sail plan, same Lu, Ft, Le</t>
  </si>
  <si>
    <t>Main 247 Corsair Marine CTOA PHRF Area</t>
  </si>
  <si>
    <t>Main 253 Rated Area x LE Girths</t>
  </si>
  <si>
    <r>
      <t>Lu</t>
    </r>
    <r>
      <rPr>
        <sz val="8"/>
        <rFont val="Arial"/>
        <family val="2"/>
      </rPr>
      <t xml:space="preserve"> class 29' 6"</t>
    </r>
  </si>
  <si>
    <t>Seg/2</t>
  </si>
  <si>
    <t>Angle</t>
  </si>
  <si>
    <t>A+90</t>
  </si>
  <si>
    <r>
      <t>Le</t>
    </r>
    <r>
      <rPr>
        <sz val="8"/>
        <rFont val="Arial"/>
        <family val="2"/>
      </rPr>
      <t xml:space="preserve"> class ≤ 30' 6"</t>
    </r>
  </si>
  <si>
    <r>
      <t>Ft</t>
    </r>
    <r>
      <rPr>
        <sz val="8"/>
        <rFont val="Arial"/>
        <family val="2"/>
      </rPr>
      <t xml:space="preserve"> class 11' 6"</t>
    </r>
  </si>
  <si>
    <r>
      <t xml:space="preserve">MHB </t>
    </r>
    <r>
      <rPr>
        <sz val="8"/>
        <color theme="1"/>
        <rFont val="Arial"/>
        <family val="2"/>
      </rPr>
      <t>(MGH) Head class 29.9"</t>
    </r>
  </si>
  <si>
    <r>
      <t>7/8 MUW</t>
    </r>
    <r>
      <rPr>
        <sz val="8"/>
        <color theme="1"/>
        <rFont val="Arial"/>
        <family val="2"/>
      </rPr>
      <t xml:space="preserve"> (MGT) class 3' 11"</t>
    </r>
  </si>
  <si>
    <r>
      <t>3/4 MTW</t>
    </r>
    <r>
      <rPr>
        <sz val="8"/>
        <color theme="1"/>
        <rFont val="Arial"/>
        <family val="2"/>
      </rPr>
      <t xml:space="preserve"> (MGU) class 6' 4.7"</t>
    </r>
  </si>
  <si>
    <r>
      <t>1/2 MHW</t>
    </r>
    <r>
      <rPr>
        <sz val="8"/>
        <color theme="1"/>
        <rFont val="Arial"/>
        <family val="2"/>
      </rPr>
      <t xml:space="preserve"> (MGM) class 9'3"</t>
    </r>
  </si>
  <si>
    <r>
      <t>1/4 MQW</t>
    </r>
    <r>
      <rPr>
        <sz val="8"/>
        <color theme="1"/>
        <rFont val="Arial"/>
        <family val="2"/>
      </rPr>
      <t xml:space="preserve"> (MGL) class 10' 7"</t>
    </r>
  </si>
  <si>
    <r>
      <t>Ft</t>
    </r>
    <r>
      <rPr>
        <vertAlign val="superscript"/>
        <sz val="10"/>
        <color theme="1"/>
        <rFont val="Arial"/>
        <family val="2"/>
      </rPr>
      <t>2</t>
    </r>
  </si>
  <si>
    <r>
      <rPr>
        <b/>
        <sz val="10"/>
        <color rgb="FF0000FF"/>
        <rFont val="Arial"/>
        <family val="2"/>
      </rPr>
      <t xml:space="preserve">109.1 / 309.3 Rated Area </t>
    </r>
    <r>
      <rPr>
        <sz val="8"/>
        <color theme="1"/>
        <rFont val="Arial"/>
        <family val="2"/>
      </rPr>
      <t xml:space="preserve">+ </t>
    </r>
    <r>
      <rPr>
        <b/>
        <sz val="8"/>
        <color theme="1"/>
        <rFont val="Arial"/>
        <family val="2"/>
      </rPr>
      <t>Area below H</t>
    </r>
    <r>
      <rPr>
        <sz val="8"/>
        <color theme="1"/>
        <rFont val="Arial"/>
        <family val="2"/>
      </rPr>
      <t>,</t>
    </r>
    <r>
      <rPr>
        <b/>
        <sz val="8"/>
        <color theme="1"/>
        <rFont val="Arial"/>
        <family val="2"/>
      </rPr>
      <t xml:space="preserve"> </t>
    </r>
    <r>
      <rPr>
        <sz val="8"/>
        <color theme="1"/>
        <rFont val="Arial"/>
        <family val="2"/>
      </rPr>
      <t>roach</t>
    </r>
  </si>
  <si>
    <r>
      <rPr>
        <sz val="9"/>
        <color rgb="FF0000FF"/>
        <rFont val="Arial"/>
        <family val="2"/>
      </rPr>
      <t xml:space="preserve">109.1 Area </t>
    </r>
    <r>
      <rPr>
        <sz val="10"/>
        <color rgb="FF0000FF"/>
        <rFont val="Arial"/>
        <family val="2"/>
      </rPr>
      <t>m</t>
    </r>
    <r>
      <rPr>
        <vertAlign val="superscript"/>
        <sz val="6"/>
        <color rgb="FF0000FF"/>
        <rFont val="Arial"/>
        <family val="2"/>
      </rPr>
      <t>2</t>
    </r>
    <r>
      <rPr>
        <sz val="10"/>
        <color rgb="FF0000FF"/>
        <rFont val="Arial"/>
        <family val="2"/>
      </rPr>
      <t xml:space="preserve"> </t>
    </r>
    <r>
      <rPr>
        <sz val="10"/>
        <color theme="1"/>
        <rFont val="Arial"/>
        <family val="2"/>
      </rPr>
      <t>x LE Girth using LU.1 x H</t>
    </r>
  </si>
  <si>
    <r>
      <rPr>
        <b/>
        <sz val="8"/>
        <color theme="1"/>
        <rFont val="Arial"/>
        <family val="2"/>
      </rPr>
      <t xml:space="preserve">MGMH </t>
    </r>
    <r>
      <rPr>
        <sz val="8"/>
        <color theme="1"/>
        <rFont val="Arial"/>
        <family val="2"/>
      </rPr>
      <t>= P/2+(MGM-E/2)/P*E</t>
    </r>
  </si>
  <si>
    <r>
      <rPr>
        <b/>
        <sz val="8"/>
        <color theme="1"/>
        <rFont val="Arial"/>
        <family val="2"/>
      </rPr>
      <t xml:space="preserve">MGLH </t>
    </r>
    <r>
      <rPr>
        <sz val="8"/>
        <color theme="1"/>
        <rFont val="Arial"/>
        <family val="2"/>
      </rPr>
      <t>= MGMH/2+(MGL-(E+MGM )/2)*(E-MGM)/MGMH</t>
    </r>
  </si>
  <si>
    <r>
      <rPr>
        <b/>
        <sz val="8"/>
        <color theme="1"/>
        <rFont val="Arial"/>
        <family val="2"/>
      </rPr>
      <t xml:space="preserve">MGUH </t>
    </r>
    <r>
      <rPr>
        <sz val="8"/>
        <color theme="1"/>
        <rFont val="Arial"/>
        <family val="2"/>
      </rPr>
      <t>= (MGMH+P)/2+(MGU-MGM/2)*MGM/(P-MGMH)</t>
    </r>
  </si>
  <si>
    <r>
      <rPr>
        <b/>
        <sz val="8"/>
        <color theme="1"/>
        <rFont val="Arial"/>
        <family val="2"/>
      </rPr>
      <t xml:space="preserve">MGTH </t>
    </r>
    <r>
      <rPr>
        <sz val="8"/>
        <color theme="1"/>
        <rFont val="Arial"/>
        <family val="2"/>
      </rPr>
      <t>= (MGUH+P)/2+(MGT-MGU/2)*MGU/(P-MGUH)</t>
    </r>
  </si>
  <si>
    <r>
      <rPr>
        <b/>
        <sz val="9"/>
        <color rgb="FF0000FF"/>
        <rFont val="Arial"/>
        <family val="2"/>
      </rPr>
      <t xml:space="preserve">109.1 / 309.3 Measured Area </t>
    </r>
    <r>
      <rPr>
        <sz val="8"/>
        <color theme="1"/>
        <rFont val="Arial"/>
        <family val="2"/>
      </rPr>
      <t xml:space="preserve">+ </t>
    </r>
    <r>
      <rPr>
        <b/>
        <sz val="8"/>
        <color theme="1"/>
        <rFont val="Arial"/>
        <family val="2"/>
      </rPr>
      <t>Area below H</t>
    </r>
    <r>
      <rPr>
        <sz val="8"/>
        <color theme="1"/>
        <rFont val="Arial"/>
        <family val="2"/>
      </rPr>
      <t>, roach</t>
    </r>
  </si>
  <si>
    <r>
      <rPr>
        <sz val="9"/>
        <color rgb="FF0000FF"/>
        <rFont val="Arial"/>
        <family val="2"/>
      </rPr>
      <t>LU Girths Area m</t>
    </r>
    <r>
      <rPr>
        <vertAlign val="superscript"/>
        <sz val="6"/>
        <color rgb="FF0000FF"/>
        <rFont val="Arial"/>
        <family val="2"/>
      </rPr>
      <t>2</t>
    </r>
    <r>
      <rPr>
        <sz val="9"/>
        <color theme="1"/>
        <rFont val="Arial"/>
        <family val="2"/>
      </rPr>
      <t xml:space="preserve"> </t>
    </r>
    <r>
      <rPr>
        <sz val="10"/>
        <color theme="1"/>
        <rFont val="Arial"/>
        <family val="2"/>
      </rPr>
      <t>using LU.1 x H</t>
    </r>
  </si>
  <si>
    <r>
      <t xml:space="preserve">P </t>
    </r>
    <r>
      <rPr>
        <sz val="10"/>
        <color rgb="FF0000FF"/>
        <rFont val="Arial"/>
        <family val="2"/>
      </rPr>
      <t>use Lu.1</t>
    </r>
  </si>
  <si>
    <t>Seg.</t>
  </si>
  <si>
    <r>
      <t xml:space="preserve">E foot uses </t>
    </r>
    <r>
      <rPr>
        <b/>
        <sz val="10"/>
        <color theme="1"/>
        <rFont val="Arial"/>
        <family val="2"/>
      </rPr>
      <t>H</t>
    </r>
  </si>
  <si>
    <r>
      <t xml:space="preserve">MHB </t>
    </r>
    <r>
      <rPr>
        <sz val="8"/>
        <color theme="1"/>
        <rFont val="Arial"/>
        <family val="2"/>
      </rPr>
      <t>(MGH) Head</t>
    </r>
  </si>
  <si>
    <r>
      <t>7/8 MUW</t>
    </r>
    <r>
      <rPr>
        <sz val="8"/>
        <color theme="1"/>
        <rFont val="Arial"/>
        <family val="2"/>
      </rPr>
      <t xml:space="preserve"> (MGT)</t>
    </r>
  </si>
  <si>
    <r>
      <t>3/4 MTW</t>
    </r>
    <r>
      <rPr>
        <sz val="8"/>
        <color theme="1"/>
        <rFont val="Arial"/>
        <family val="2"/>
      </rPr>
      <t xml:space="preserve"> (MGU)</t>
    </r>
  </si>
  <si>
    <r>
      <t>1/2 MHW</t>
    </r>
    <r>
      <rPr>
        <sz val="8"/>
        <color theme="1"/>
        <rFont val="Arial"/>
        <family val="2"/>
      </rPr>
      <t xml:space="preserve"> (MGM)</t>
    </r>
  </si>
  <si>
    <r>
      <t>1/4 MQW</t>
    </r>
    <r>
      <rPr>
        <sz val="8"/>
        <color theme="1"/>
        <rFont val="Arial"/>
        <family val="2"/>
      </rPr>
      <t xml:space="preserve"> (MGL)</t>
    </r>
  </si>
  <si>
    <r>
      <t>Area Below H m</t>
    </r>
    <r>
      <rPr>
        <vertAlign val="superscript"/>
        <sz val="8"/>
        <color theme="1"/>
        <rFont val="Arial"/>
        <family val="2"/>
      </rPr>
      <t>2</t>
    </r>
    <r>
      <rPr>
        <vertAlign val="superscript"/>
        <sz val="9"/>
        <color theme="1"/>
        <rFont val="Arial"/>
        <family val="2"/>
      </rPr>
      <t xml:space="preserve"> </t>
    </r>
    <r>
      <rPr>
        <sz val="9"/>
        <color theme="1"/>
        <rFont val="Arial"/>
        <family val="2"/>
      </rPr>
      <t>ft</t>
    </r>
    <r>
      <rPr>
        <vertAlign val="superscript"/>
        <sz val="8"/>
        <color theme="1"/>
        <rFont val="Arial"/>
        <family val="2"/>
      </rPr>
      <t>2</t>
    </r>
  </si>
  <si>
    <r>
      <t>Ft.Roach</t>
    </r>
    <r>
      <rPr>
        <sz val="10"/>
        <color rgb="FF008000"/>
        <rFont val="Arial"/>
        <family val="2"/>
      </rPr>
      <t xml:space="preserve"> ~0"</t>
    </r>
  </si>
  <si>
    <r>
      <rPr>
        <b/>
        <sz val="10"/>
        <color theme="1"/>
        <rFont val="Arial"/>
        <family val="2"/>
      </rPr>
      <t xml:space="preserve">H </t>
    </r>
    <r>
      <rPr>
        <sz val="10"/>
        <color theme="1"/>
        <rFont val="Arial"/>
        <family val="2"/>
      </rPr>
      <t xml:space="preserve">= </t>
    </r>
    <r>
      <rPr>
        <sz val="8"/>
        <color theme="1"/>
        <rFont val="Arial"/>
        <family val="2"/>
      </rPr>
      <t xml:space="preserve">(Triangle Area.Lu.Le.Ft ) / Lu*2 </t>
    </r>
  </si>
  <si>
    <r>
      <rPr>
        <b/>
        <sz val="10"/>
        <color theme="1"/>
        <rFont val="Arial"/>
        <family val="2"/>
      </rPr>
      <t>109.1 LE Girths</t>
    </r>
    <r>
      <rPr>
        <sz val="10"/>
        <color theme="1"/>
        <rFont val="Arial"/>
        <family val="2"/>
      </rPr>
      <t xml:space="preserve"> Correction on Trapezoid Area (ORC.2017)</t>
    </r>
  </si>
  <si>
    <r>
      <rPr>
        <b/>
        <sz val="10"/>
        <color theme="1"/>
        <rFont val="Arial"/>
        <family val="2"/>
      </rPr>
      <t>309.3 LE Girths</t>
    </r>
    <r>
      <rPr>
        <sz val="10"/>
        <color theme="1"/>
        <rFont val="Arial"/>
        <family val="2"/>
      </rPr>
      <t xml:space="preserve"> Correction on Trapezoid Area (HPR.2014)</t>
    </r>
  </si>
  <si>
    <r>
      <rPr>
        <b/>
        <sz val="10"/>
        <color theme="1"/>
        <rFont val="Arial"/>
        <family val="2"/>
      </rPr>
      <t xml:space="preserve">16.7 LE Girth </t>
    </r>
    <r>
      <rPr>
        <sz val="10"/>
        <color theme="1"/>
        <rFont val="Arial"/>
        <family val="2"/>
      </rPr>
      <t>Corrections on Trapezoid Area (HPR 2013)</t>
    </r>
  </si>
  <si>
    <r>
      <rPr>
        <b/>
        <sz val="10"/>
        <color theme="1"/>
        <rFont val="Arial"/>
        <family val="2"/>
      </rPr>
      <t xml:space="preserve">16.4 LU Girth </t>
    </r>
    <r>
      <rPr>
        <sz val="10"/>
        <color theme="1"/>
        <rFont val="Arial"/>
        <family val="2"/>
      </rPr>
      <t>Trapezoid Equation x Ht. =0.25, 0.50 0.75, 0.875, 1.00</t>
    </r>
  </si>
  <si>
    <r>
      <t>LE auto.calc (Lu</t>
    </r>
    <r>
      <rPr>
        <vertAlign val="superscript"/>
        <sz val="10"/>
        <color theme="1" tint="0.499984740745262"/>
        <rFont val="Arial"/>
        <family val="2"/>
      </rPr>
      <t>^2</t>
    </r>
    <r>
      <rPr>
        <sz val="10"/>
        <color theme="1" tint="0.499984740745262"/>
        <rFont val="Arial"/>
        <family val="2"/>
      </rPr>
      <t xml:space="preserve"> + </t>
    </r>
    <r>
      <rPr>
        <sz val="9"/>
        <color theme="1" tint="0.499984740745262"/>
        <rFont val="Arial"/>
        <family val="2"/>
      </rPr>
      <t>Ft</t>
    </r>
    <r>
      <rPr>
        <vertAlign val="superscript"/>
        <sz val="10"/>
        <color theme="1" tint="0.499984740745262"/>
        <rFont val="Arial"/>
        <family val="2"/>
      </rPr>
      <t>^2</t>
    </r>
    <r>
      <rPr>
        <sz val="10"/>
        <color theme="1" tint="0.499984740745262"/>
        <rFont val="Arial"/>
        <family val="2"/>
      </rPr>
      <t xml:space="preserve">) </t>
    </r>
    <r>
      <rPr>
        <vertAlign val="superscript"/>
        <sz val="10"/>
        <color theme="1" tint="0.499984740745262"/>
        <rFont val="Arial"/>
        <family val="2"/>
      </rPr>
      <t>^0.5</t>
    </r>
  </si>
  <si>
    <r>
      <rPr>
        <b/>
        <sz val="12"/>
        <rFont val="Arial"/>
        <family val="2"/>
      </rPr>
      <t>Weight</t>
    </r>
    <r>
      <rPr>
        <b/>
        <sz val="8"/>
        <rFont val="Arial"/>
        <family val="2"/>
      </rPr>
      <t xml:space="preserve"> : </t>
    </r>
    <r>
      <rPr>
        <sz val="10"/>
        <rFont val="Arial"/>
        <family val="2"/>
      </rPr>
      <t xml:space="preserve">Inventory, Equipment Declaration Form </t>
    </r>
    <r>
      <rPr>
        <b/>
        <sz val="10"/>
        <rFont val="Arial"/>
        <family val="2"/>
      </rPr>
      <t>(Texel</t>
    </r>
    <r>
      <rPr>
        <sz val="8"/>
        <rFont val="Arial"/>
        <family val="2"/>
      </rPr>
      <t xml:space="preserve"> AUS THA DEN GER NDL NOR SWE CSA </t>
    </r>
    <r>
      <rPr>
        <b/>
        <sz val="10"/>
        <rFont val="Arial"/>
        <family val="2"/>
      </rPr>
      <t>MOCRA</t>
    </r>
    <r>
      <rPr>
        <sz val="8"/>
        <rFont val="Arial"/>
        <family val="2"/>
      </rPr>
      <t xml:space="preserve"> BRA UK </t>
    </r>
    <r>
      <rPr>
        <b/>
        <sz val="10"/>
        <rFont val="Arial"/>
        <family val="2"/>
      </rPr>
      <t>Multi2000</t>
    </r>
    <r>
      <rPr>
        <b/>
        <sz val="8"/>
        <rFont val="Arial"/>
        <family val="2"/>
      </rPr>
      <t xml:space="preserve"> </t>
    </r>
    <r>
      <rPr>
        <sz val="8"/>
        <rFont val="Arial"/>
        <family val="2"/>
      </rPr>
      <t>FRA FIN</t>
    </r>
    <r>
      <rPr>
        <b/>
        <sz val="8"/>
        <rFont val="Arial"/>
        <family val="2"/>
      </rPr>
      <t>)</t>
    </r>
  </si>
  <si>
    <t>Load-Cell Measurement</t>
  </si>
  <si>
    <t xml:space="preserve"> Weight Sailing lb</t>
  </si>
  <si>
    <t>Hull ID: FRADH00061F616</t>
  </si>
  <si>
    <t>Weight Sailing kg</t>
  </si>
  <si>
    <r>
      <t xml:space="preserve">Boat: </t>
    </r>
    <r>
      <rPr>
        <sz val="8"/>
        <rFont val="Arial"/>
        <family val="2"/>
      </rPr>
      <t xml:space="preserve">Boom </t>
    </r>
  </si>
  <si>
    <r>
      <t xml:space="preserve">Mast: </t>
    </r>
    <r>
      <rPr>
        <sz val="8"/>
        <rFont val="Arial"/>
        <family val="2"/>
      </rPr>
      <t>Mast tube; Shrouds; Forestay; Halyards</t>
    </r>
  </si>
  <si>
    <r>
      <t xml:space="preserve">Sails: </t>
    </r>
    <r>
      <rPr>
        <sz val="8"/>
        <rFont val="Arial"/>
        <family val="2"/>
      </rPr>
      <t>Racing, Main, Solent, Staysail, Gennaker, Battens, Furlers</t>
    </r>
  </si>
  <si>
    <r>
      <t xml:space="preserve">This is to </t>
    </r>
    <r>
      <rPr>
        <b/>
        <sz val="10"/>
        <rFont val="Arial"/>
        <family val="2"/>
      </rPr>
      <t xml:space="preserve">Declare </t>
    </r>
    <r>
      <rPr>
        <sz val="10"/>
        <rFont val="Arial"/>
        <family val="2"/>
      </rPr>
      <t xml:space="preserve">that the yacht </t>
    </r>
    <r>
      <rPr>
        <b/>
        <u/>
        <sz val="12"/>
        <rFont val="Arial"/>
        <family val="2"/>
      </rPr>
      <t>Manufacturer Type, Sail.Number, Boat.Name</t>
    </r>
    <r>
      <rPr>
        <sz val="10"/>
        <rFont val="Arial"/>
        <family val="2"/>
      </rPr>
      <t xml:space="preserve"> weighs the above, </t>
    </r>
  </si>
  <si>
    <t>in a dry condition (no:water, gas).  All equipment "Declared" is part of the "Inventory" that must remain on the boat for racing including</t>
  </si>
  <si>
    <r>
      <t xml:space="preserve">a set of racing sails &amp; </t>
    </r>
    <r>
      <rPr>
        <b/>
        <sz val="10"/>
        <rFont val="Arial"/>
        <family val="2"/>
      </rPr>
      <t>U.S. Coast Guard Required Equipment</t>
    </r>
    <r>
      <rPr>
        <sz val="10"/>
        <rFont val="Arial"/>
        <family val="2"/>
      </rPr>
      <t xml:space="preserve"> applicable to the boat size.  Texel Weight Equipment</t>
    </r>
  </si>
  <si>
    <t>(WE) of individual items is waived based on inclusion of same in Sailing Weight.</t>
  </si>
  <si>
    <t>Equipment</t>
  </si>
  <si>
    <t>Description</t>
  </si>
  <si>
    <t>WE items (list)</t>
  </si>
  <si>
    <t>Engine/s</t>
  </si>
  <si>
    <t>Outboard</t>
  </si>
  <si>
    <t>Mainsails</t>
  </si>
  <si>
    <t xml:space="preserve">One (1) </t>
  </si>
  <si>
    <t>Offshore</t>
  </si>
  <si>
    <t>Outboard(hp)</t>
  </si>
  <si>
    <t>electric torqueedo 3hp</t>
  </si>
  <si>
    <t>Headsails</t>
  </si>
  <si>
    <t>One (1) Roller Furl</t>
  </si>
  <si>
    <t>NCORC</t>
  </si>
  <si>
    <t>Battery #1 Amp/Hrs</t>
  </si>
  <si>
    <t>minimal,</t>
  </si>
  <si>
    <t>Battery #2 Amp/Hrs</t>
  </si>
  <si>
    <t>Spinnaker #1</t>
  </si>
  <si>
    <t>Tools / Spares</t>
  </si>
  <si>
    <t>None</t>
  </si>
  <si>
    <t>Gennaker / Screecher</t>
  </si>
  <si>
    <t>Fenders</t>
  </si>
  <si>
    <t>Two (2) hull-float</t>
  </si>
  <si>
    <t>Shrouds</t>
  </si>
  <si>
    <t>Item.Desc</t>
  </si>
  <si>
    <t>Moorings</t>
  </si>
  <si>
    <t>no dock lines</t>
  </si>
  <si>
    <t>Other</t>
  </si>
  <si>
    <t>bucket, velocitek speedpuk</t>
  </si>
  <si>
    <t>Safety YRA</t>
  </si>
  <si>
    <t>Inshore</t>
  </si>
  <si>
    <t>Spare sheets</t>
  </si>
  <si>
    <t>minimal</t>
  </si>
  <si>
    <t>2.5.3 Bilge Pump</t>
  </si>
  <si>
    <t>Roller Furlers</t>
  </si>
  <si>
    <t>One (2) jib, gnkr</t>
  </si>
  <si>
    <t>3.1.3 Life Jackets</t>
  </si>
  <si>
    <t>Winch Handles</t>
  </si>
  <si>
    <t>3.3.1 Running Lights</t>
  </si>
  <si>
    <t>Tiller Extension</t>
  </si>
  <si>
    <t>3.4 Fire Extinguisher</t>
  </si>
  <si>
    <t>Auto-Pilot</t>
  </si>
  <si>
    <t>3.5 Air Horn</t>
  </si>
  <si>
    <t>One (1)</t>
  </si>
  <si>
    <t>Stove (fuel type)</t>
  </si>
  <si>
    <t>3.6.4 Flares day/night</t>
  </si>
  <si>
    <t>Refrigerator</t>
  </si>
  <si>
    <t>3.7.3 Heaving line 50′</t>
  </si>
  <si>
    <t>Ice Maker</t>
  </si>
  <si>
    <t>3.8 CG Type IV throwable</t>
  </si>
  <si>
    <t>Solar Panels</t>
  </si>
  <si>
    <t>3.9 VHF portable</t>
  </si>
  <si>
    <t>Seat cushions</t>
  </si>
  <si>
    <t>3.11 GPS / charts</t>
  </si>
  <si>
    <t>Bunk Cushions</t>
  </si>
  <si>
    <t>3.19.1 Compass magnetic</t>
  </si>
  <si>
    <t>Porta-Potty</t>
  </si>
  <si>
    <t>3.23 Anchor 1</t>
  </si>
  <si>
    <r>
      <t xml:space="preserve">Yes </t>
    </r>
    <r>
      <rPr>
        <sz val="10"/>
        <color indexed="10"/>
        <rFont val="Arial"/>
        <family val="2"/>
      </rPr>
      <t>Britany [8kg]</t>
    </r>
    <r>
      <rPr>
        <sz val="8"/>
        <rFont val="Arial"/>
        <family val="2"/>
      </rPr>
      <t>lb/kg</t>
    </r>
  </si>
  <si>
    <t>Water Tank</t>
  </si>
  <si>
    <t>3.23 a. Chain (size/m)</t>
  </si>
  <si>
    <r>
      <t>Yes</t>
    </r>
    <r>
      <rPr>
        <sz val="10"/>
        <color indexed="10"/>
        <rFont val="Arial"/>
        <family val="2"/>
      </rPr>
      <t>[8mm]</t>
    </r>
    <r>
      <rPr>
        <sz val="10"/>
        <rFont val="Arial"/>
        <family val="2"/>
      </rPr>
      <t xml:space="preserve">link.dia. </t>
    </r>
    <r>
      <rPr>
        <sz val="10"/>
        <color indexed="10"/>
        <rFont val="Arial"/>
        <family val="2"/>
      </rPr>
      <t>[4.3]</t>
    </r>
    <r>
      <rPr>
        <sz val="10"/>
        <rFont val="Arial"/>
        <family val="2"/>
      </rPr>
      <t>m</t>
    </r>
  </si>
  <si>
    <t>Enlclosed Head</t>
  </si>
  <si>
    <t>3.23 b. Rode (dia/m)</t>
  </si>
  <si>
    <r>
      <t xml:space="preserve">Yes </t>
    </r>
    <r>
      <rPr>
        <sz val="10"/>
        <color indexed="10"/>
        <rFont val="Arial"/>
        <family val="2"/>
      </rPr>
      <t xml:space="preserve">[8mm] </t>
    </r>
    <r>
      <rPr>
        <sz val="10"/>
        <rFont val="Arial"/>
        <family val="2"/>
      </rPr>
      <t xml:space="preserve">dia. </t>
    </r>
    <r>
      <rPr>
        <sz val="10"/>
        <color indexed="10"/>
        <rFont val="Arial"/>
        <family val="2"/>
      </rPr>
      <t>[22]</t>
    </r>
    <r>
      <rPr>
        <sz val="10"/>
        <rFont val="Arial"/>
        <family val="2"/>
      </rPr>
      <t>m</t>
    </r>
  </si>
  <si>
    <t>Black Water Tank</t>
  </si>
  <si>
    <t>3.25 First Aid Kit</t>
  </si>
  <si>
    <t>Pressure H/C Water</t>
  </si>
  <si>
    <t xml:space="preserve">Where it is simpler to weigh items such as tools and spares, use kgs, where it is simpler to count items, use numbers etc. </t>
  </si>
  <si>
    <t>For example [Tools - 10kg], [Mattresses - 4], [Chain 8mm - 50 metres].  Otherwise describe, [Engine - 9.8 hp Yamaha outboard</t>
  </si>
  <si>
    <r>
      <t xml:space="preserve">27hp Yanmar Diesel] or mark to show it is carried [Video - X].  </t>
    </r>
    <r>
      <rPr>
        <b/>
        <sz val="10"/>
        <rFont val="Arial"/>
        <family val="2"/>
      </rPr>
      <t>WE</t>
    </r>
    <r>
      <rPr>
        <sz val="10"/>
        <rFont val="Arial"/>
        <family val="2"/>
      </rPr>
      <t xml:space="preserve"> may be used for </t>
    </r>
    <r>
      <rPr>
        <b/>
        <sz val="10"/>
        <rFont val="Arial"/>
        <family val="2"/>
      </rPr>
      <t>Offshore Races</t>
    </r>
    <r>
      <rPr>
        <sz val="10"/>
        <rFont val="Arial"/>
        <family val="2"/>
      </rPr>
      <t xml:space="preserve"> requiring Category X </t>
    </r>
    <r>
      <rPr>
        <b/>
        <sz val="10"/>
        <rFont val="Arial"/>
        <family val="2"/>
      </rPr>
      <t>NCORC</t>
    </r>
    <r>
      <rPr>
        <sz val="10"/>
        <rFont val="Arial"/>
        <family val="2"/>
      </rPr>
      <t xml:space="preserve"> equip.</t>
    </r>
  </si>
  <si>
    <t>WM</t>
  </si>
  <si>
    <t xml:space="preserve">     WE</t>
  </si>
  <si>
    <t xml:space="preserve"> Inshore</t>
  </si>
  <si>
    <t>WS:</t>
  </si>
  <si>
    <t>(Wt.Measured + Wt.Equipment)</t>
  </si>
  <si>
    <t>SIGNED:</t>
  </si>
  <si>
    <t>MEASURER</t>
  </si>
  <si>
    <t>slackwater_sf.electronic</t>
  </si>
  <si>
    <t>OWNER</t>
  </si>
  <si>
    <t xml:space="preserve">Gross: </t>
  </si>
  <si>
    <t>Lifting Bridle, Tared to Zero (0)</t>
  </si>
  <si>
    <t>NIST test deviation @ 1,000 lbs</t>
  </si>
  <si>
    <t>Sail Covers, main, jib</t>
  </si>
  <si>
    <t>Del. 0.3 gal 1.1 Liter Gas integrated tank @ 6.43 lb / gal</t>
  </si>
  <si>
    <t>Merc.Ref.Link</t>
  </si>
  <si>
    <t>Net:</t>
  </si>
  <si>
    <t>Weight Measured:</t>
  </si>
  <si>
    <t>Weight Measured is the "Empty Weight" of the boat taken by a load-cell in the following dry condition (no water/gas):</t>
  </si>
  <si>
    <t>1 Fully rigged with all spars, standing rigging, runners-checkstays, halyards and sheets.</t>
  </si>
  <si>
    <t>2 Main engine installed, or outboard engine aboard in stowed position.</t>
  </si>
  <si>
    <t>3 Trampolines and netting.</t>
  </si>
  <si>
    <t>4 Sails, not more than 1 mainsail, 1 jib, 1 reacher, 1 or 2 spinnakers, or as equipped to race (size dependent).</t>
  </si>
  <si>
    <t>5 Headsail and spinnaker sheets.</t>
  </si>
  <si>
    <t>6 Batteries &amp; fitted berth cushions on board in their normal positions if carried while racing (noted above).</t>
  </si>
  <si>
    <t>7 Anchor, chain, rode, mooring lines.</t>
  </si>
  <si>
    <t>8 Safety equipment, life jackets.</t>
  </si>
  <si>
    <t>9 All permanent fixtures detachable or not, including hatchboards &amp; table in the normal positions.</t>
  </si>
  <si>
    <t>10 Fenders etc. (qty noted above).</t>
  </si>
  <si>
    <t>11 Cooking facilities (items noted above).</t>
  </si>
  <si>
    <t>12 Holding Tanks (black water) will be empty for weighing.</t>
  </si>
  <si>
    <t>All items included in "Weight Measured" will be carried while racing.</t>
  </si>
  <si>
    <t>The following items shall not be on board for weighing:</t>
  </si>
  <si>
    <t>1 Spare standing and running rigging.</t>
  </si>
  <si>
    <t>2 Fuel, water and the contents of any other tanks.  Fluids will cause a full-tank weight deduction.</t>
  </si>
  <si>
    <t>3 Food.</t>
  </si>
  <si>
    <t>4 Clothing, bedding and personal effects.</t>
  </si>
  <si>
    <t>5 Spare Tools and large spare parts inventory.</t>
  </si>
  <si>
    <t>6 Loose gear.</t>
  </si>
  <si>
    <t>7 Crew.</t>
  </si>
  <si>
    <t>2017 Diam24 North.FR Main</t>
  </si>
  <si>
    <t>11/24/16 : AUS Multihull Nationals GR 207 Wilparina2 Texel.AUS main dims 24.15m, not ORC/HPR UMS LE.Girths</t>
  </si>
  <si>
    <t>02/14/17 : trial run, MOCRA LE.Girths fail, MHB.calc.aus</t>
  </si>
  <si>
    <r>
      <t xml:space="preserve">02/15/17 : </t>
    </r>
    <r>
      <rPr>
        <b/>
        <sz val="9"/>
        <color theme="1"/>
        <rFont val="Arial"/>
        <family val="2"/>
      </rPr>
      <t>Visio MHB AUS,</t>
    </r>
    <r>
      <rPr>
        <sz val="9"/>
        <color theme="1"/>
        <rFont val="Arial"/>
        <family val="2"/>
      </rPr>
      <t xml:space="preserve"> LE.2 radius above P Increases Vertical Luff Main, MHB New 1.36</t>
    </r>
  </si>
  <si>
    <r>
      <t xml:space="preserve">02/18/17 : Visio </t>
    </r>
    <r>
      <rPr>
        <b/>
        <sz val="9"/>
        <color theme="1"/>
        <rFont val="Arial"/>
        <family val="2"/>
      </rPr>
      <t>DEL MHB.AUS Area</t>
    </r>
    <r>
      <rPr>
        <sz val="9"/>
        <color theme="1"/>
        <rFont val="Arial"/>
        <family val="2"/>
      </rPr>
      <t xml:space="preserve"> above Head x Le2, Dims North.Fr/ADH Inotec 02/16/17, </t>
    </r>
  </si>
  <si>
    <t xml:space="preserve">Le </t>
  </si>
  <si>
    <r>
      <t xml:space="preserve">MHB </t>
    </r>
    <r>
      <rPr>
        <sz val="8"/>
        <rFont val="Arial"/>
        <family val="2"/>
      </rPr>
      <t>(MGH) Head class x.xxx</t>
    </r>
  </si>
  <si>
    <r>
      <t>7/8 MUW</t>
    </r>
    <r>
      <rPr>
        <sz val="8"/>
        <rFont val="Arial"/>
        <family val="2"/>
      </rPr>
      <t xml:space="preserve"> (MGT) class x.xxx</t>
    </r>
  </si>
  <si>
    <r>
      <t>3/4 MTW</t>
    </r>
    <r>
      <rPr>
        <sz val="8"/>
        <rFont val="Arial"/>
        <family val="2"/>
      </rPr>
      <t xml:space="preserve"> (MGU) class x.xxx</t>
    </r>
  </si>
  <si>
    <r>
      <t>1/2 MHW</t>
    </r>
    <r>
      <rPr>
        <sz val="8"/>
        <rFont val="Arial"/>
        <family val="2"/>
      </rPr>
      <t xml:space="preserve"> (MGM) class x.xxx</t>
    </r>
  </si>
  <si>
    <r>
      <t>1/4 MQW</t>
    </r>
    <r>
      <rPr>
        <sz val="8"/>
        <rFont val="Arial"/>
        <family val="2"/>
      </rPr>
      <t xml:space="preserve"> (MGL) class x.xxx</t>
    </r>
  </si>
  <si>
    <r>
      <rPr>
        <b/>
        <sz val="9"/>
        <color rgb="FF0000FF"/>
        <rFont val="Arial"/>
        <family val="2"/>
      </rPr>
      <t xml:space="preserve">109.1 / 309.3 Measured Area </t>
    </r>
    <r>
      <rPr>
        <sz val="8"/>
        <rFont val="Arial"/>
        <family val="2"/>
      </rPr>
      <t>-below H,Ft.Roach</t>
    </r>
  </si>
  <si>
    <r>
      <t xml:space="preserve">MHB </t>
    </r>
    <r>
      <rPr>
        <sz val="8"/>
        <rFont val="Arial"/>
        <family val="2"/>
      </rPr>
      <t>(MGH) Head</t>
    </r>
  </si>
  <si>
    <r>
      <t>7/8 MUW</t>
    </r>
    <r>
      <rPr>
        <sz val="8"/>
        <rFont val="Arial"/>
        <family val="2"/>
      </rPr>
      <t xml:space="preserve"> (MGT)</t>
    </r>
  </si>
  <si>
    <r>
      <t>1/2 MHW</t>
    </r>
    <r>
      <rPr>
        <sz val="8"/>
        <rFont val="Arial"/>
        <family val="2"/>
      </rPr>
      <t xml:space="preserve"> (MGM)</t>
    </r>
  </si>
  <si>
    <t>Examples</t>
  </si>
  <si>
    <t>C/F-31 Jib Areas</t>
  </si>
  <si>
    <t>Leech Girths, Class dimensions, Example Diagram</t>
  </si>
  <si>
    <r>
      <t>269 ft</t>
    </r>
    <r>
      <rPr>
        <vertAlign val="superscript"/>
        <sz val="8"/>
        <color indexed="12"/>
        <rFont val="Arial"/>
        <family val="2"/>
      </rPr>
      <t>2</t>
    </r>
    <r>
      <rPr>
        <sz val="10"/>
        <color indexed="12"/>
        <rFont val="Arial"/>
        <family val="2"/>
      </rPr>
      <t xml:space="preserve"> actual area &gt; CTOA 218 ft</t>
    </r>
    <r>
      <rPr>
        <vertAlign val="superscript"/>
        <sz val="8"/>
        <color indexed="12"/>
        <rFont val="Arial"/>
        <family val="2"/>
      </rPr>
      <t>2</t>
    </r>
    <r>
      <rPr>
        <sz val="10"/>
        <color indexed="12"/>
        <rFont val="Arial"/>
        <family val="2"/>
      </rPr>
      <t xml:space="preserve"> assumption.  30%+ &gt; 206 ft</t>
    </r>
    <r>
      <rPr>
        <vertAlign val="superscript"/>
        <sz val="8"/>
        <color indexed="12"/>
        <rFont val="Arial"/>
        <family val="2"/>
      </rPr>
      <t>2</t>
    </r>
    <r>
      <rPr>
        <sz val="10"/>
        <color indexed="12"/>
        <rFont val="Arial"/>
        <family val="2"/>
      </rPr>
      <t xml:space="preserve"> Triangle</t>
    </r>
  </si>
  <si>
    <r>
      <rPr>
        <b/>
        <sz val="10"/>
        <color indexed="12"/>
        <rFont val="Arial"/>
        <family val="2"/>
      </rPr>
      <t>LP is an Arc</t>
    </r>
    <r>
      <rPr>
        <sz val="10"/>
        <color indexed="12"/>
        <rFont val="Arial"/>
        <family val="2"/>
      </rPr>
      <t xml:space="preserve"> nearest point of the Luff; </t>
    </r>
    <r>
      <rPr>
        <b/>
        <sz val="10"/>
        <color indexed="12"/>
        <rFont val="Arial"/>
        <family val="2"/>
      </rPr>
      <t>H or H1</t>
    </r>
    <r>
      <rPr>
        <sz val="10"/>
        <color indexed="12"/>
        <rFont val="Arial"/>
        <family val="2"/>
      </rPr>
      <t xml:space="preserve"> is from the Clew to Luff straight line</t>
    </r>
  </si>
  <si>
    <r>
      <t>C-31R North</t>
    </r>
    <r>
      <rPr>
        <b/>
        <sz val="9"/>
        <color indexed="12"/>
        <rFont val="Arial"/>
        <family val="2"/>
      </rPr>
      <t xml:space="preserve"> Dims x UMS, not Diagram</t>
    </r>
  </si>
  <si>
    <t>Jib</t>
  </si>
  <si>
    <r>
      <t xml:space="preserve">Luff </t>
    </r>
    <r>
      <rPr>
        <sz val="8"/>
        <color rgb="FF0000FF"/>
        <rFont val="Arial"/>
        <family val="2"/>
      </rPr>
      <t>S1</t>
    </r>
    <r>
      <rPr>
        <sz val="8"/>
        <rFont val="Arial"/>
        <family val="2"/>
      </rPr>
      <t xml:space="preserve"> </t>
    </r>
    <r>
      <rPr>
        <sz val="6"/>
        <color theme="1" tint="0.249977111117893"/>
        <rFont val="Arial"/>
        <family val="2"/>
      </rPr>
      <t>par 5.9.2a</t>
    </r>
    <r>
      <rPr>
        <sz val="9"/>
        <color theme="1" tint="0.249977111117893"/>
        <rFont val="Arial"/>
        <family val="2"/>
      </rPr>
      <t xml:space="preserve"> 411.6" 34.3'</t>
    </r>
  </si>
  <si>
    <r>
      <t>LPG</t>
    </r>
    <r>
      <rPr>
        <sz val="8"/>
        <rFont val="Arial"/>
        <family val="2"/>
      </rPr>
      <t xml:space="preserve"> </t>
    </r>
    <r>
      <rPr>
        <sz val="6"/>
        <color theme="1" tint="0.249977111117893"/>
        <rFont val="Arial"/>
        <family val="2"/>
      </rPr>
      <t>par 5.9.2b</t>
    </r>
    <r>
      <rPr>
        <sz val="8"/>
        <color theme="1" tint="0.249977111117893"/>
        <rFont val="Arial"/>
        <family val="2"/>
      </rPr>
      <t xml:space="preserve"> </t>
    </r>
    <r>
      <rPr>
        <sz val="9"/>
        <color theme="1" tint="0.249977111117893"/>
        <rFont val="Arial"/>
        <family val="2"/>
      </rPr>
      <t>144" 12'</t>
    </r>
  </si>
  <si>
    <r>
      <t>JH</t>
    </r>
    <r>
      <rPr>
        <sz val="8"/>
        <rFont val="Arial"/>
        <family val="2"/>
      </rPr>
      <t xml:space="preserve"> Head</t>
    </r>
  </si>
  <si>
    <r>
      <t>JGT</t>
    </r>
    <r>
      <rPr>
        <sz val="8"/>
        <rFont val="Arial"/>
        <family val="2"/>
      </rPr>
      <t xml:space="preserve"> 7/8:</t>
    </r>
  </si>
  <si>
    <r>
      <t>JGU</t>
    </r>
    <r>
      <rPr>
        <sz val="8"/>
        <rFont val="Arial"/>
        <family val="2"/>
      </rPr>
      <t xml:space="preserve"> 3/4:</t>
    </r>
  </si>
  <si>
    <r>
      <t>JGM</t>
    </r>
    <r>
      <rPr>
        <sz val="8"/>
        <rFont val="Arial"/>
        <family val="2"/>
      </rPr>
      <t xml:space="preserve"> 1/2: </t>
    </r>
    <r>
      <rPr>
        <sz val="6"/>
        <color theme="1" tint="0.249977111117893"/>
        <rFont val="Arial"/>
        <family val="2"/>
      </rPr>
      <t xml:space="preserve">par 5.9.2c </t>
    </r>
    <r>
      <rPr>
        <sz val="8"/>
        <rFont val="Arial"/>
        <family val="2"/>
      </rPr>
      <t>90" 7.5'</t>
    </r>
  </si>
  <si>
    <r>
      <t>JGL</t>
    </r>
    <r>
      <rPr>
        <sz val="8"/>
        <rFont val="Arial"/>
        <family val="2"/>
      </rPr>
      <t xml:space="preserve"> 1/4:</t>
    </r>
  </si>
  <si>
    <t>Foot.Roach</t>
  </si>
  <si>
    <r>
      <rPr>
        <b/>
        <sz val="12"/>
        <color indexed="12"/>
        <rFont val="Arial"/>
        <family val="2"/>
      </rPr>
      <t>C-31 Class Example</t>
    </r>
    <r>
      <rPr>
        <b/>
        <sz val="10"/>
        <color indexed="12"/>
        <rFont val="Arial"/>
        <family val="2"/>
      </rPr>
      <t xml:space="preserve"> Diagram MaxDims</t>
    </r>
  </si>
  <si>
    <t>JGT=(JGU+JGH)/2+0.xx</t>
  </si>
  <si>
    <t>JGU=(JGM+JGH)/2+0.xx</t>
  </si>
  <si>
    <t>JGL=(LPG+JGM)/2+0.xx</t>
  </si>
  <si>
    <t>Foot.Roach 12" w/batten</t>
  </si>
  <si>
    <r>
      <rPr>
        <b/>
        <sz val="10"/>
        <color indexed="12"/>
        <rFont val="Arial"/>
        <family val="2"/>
      </rPr>
      <t>CTOA Rule:</t>
    </r>
    <r>
      <rPr>
        <b/>
        <sz val="9"/>
        <color indexed="12"/>
        <rFont val="Arial"/>
        <family val="2"/>
      </rPr>
      <t xml:space="preserve"> </t>
    </r>
    <r>
      <rPr>
        <sz val="9"/>
        <color indexed="12"/>
        <rFont val="Arial"/>
        <family val="2"/>
      </rPr>
      <t>Maximum allowable PHRF sail area in square feet</t>
    </r>
  </si>
  <si>
    <t>Triangle Area(Lu,Le,Ft)</t>
  </si>
  <si>
    <t>Le.calc</t>
  </si>
  <si>
    <r>
      <rPr>
        <b/>
        <sz val="10"/>
        <rFont val="Arial"/>
        <family val="2"/>
      </rPr>
      <t xml:space="preserve">H = </t>
    </r>
    <r>
      <rPr>
        <sz val="10"/>
        <rFont val="Arial"/>
        <family val="2"/>
      </rPr>
      <t>2 * TriangleArea / Lu</t>
    </r>
  </si>
  <si>
    <t>( C-31 North / Triangle ) -1</t>
  </si>
  <si>
    <t>( C-31 Class / Triangle ) -1</t>
  </si>
  <si>
    <t>( C-31 CTOA  / Triangle ) -1</t>
  </si>
  <si>
    <t>Corsair 31R/F-31R Class Rules</t>
  </si>
  <si>
    <t>2003 Draft 1</t>
  </si>
  <si>
    <t>checked again</t>
  </si>
  <si>
    <t>Rule.In.</t>
  </si>
  <si>
    <t>Imp</t>
  </si>
  <si>
    <t>Visio</t>
  </si>
  <si>
    <r>
      <t>a</t>
    </r>
    <r>
      <rPr>
        <sz val="10"/>
        <rFont val="Arial"/>
        <family val="2"/>
      </rPr>
      <t xml:space="preserve"> Luff</t>
    </r>
  </si>
  <si>
    <t>Mid-Girth</t>
  </si>
  <si>
    <r>
      <t>b</t>
    </r>
    <r>
      <rPr>
        <sz val="10"/>
        <rFont val="Arial"/>
        <family val="2"/>
      </rPr>
      <t xml:space="preserve"> Ft</t>
    </r>
  </si>
  <si>
    <r>
      <t>h10</t>
    </r>
    <r>
      <rPr>
        <sz val="10"/>
        <rFont val="Arial"/>
        <family val="2"/>
      </rPr>
      <t xml:space="preserve"> Ft.R</t>
    </r>
  </si>
  <si>
    <r>
      <t>c</t>
    </r>
    <r>
      <rPr>
        <sz val="10"/>
        <rFont val="Arial"/>
        <family val="2"/>
      </rPr>
      <t xml:space="preserve"> Le</t>
    </r>
  </si>
  <si>
    <r>
      <t>h11</t>
    </r>
    <r>
      <rPr>
        <sz val="10"/>
        <rFont val="Arial"/>
        <family val="2"/>
      </rPr>
      <t xml:space="preserve"> Le.R</t>
    </r>
  </si>
  <si>
    <r>
      <t>h12</t>
    </r>
    <r>
      <rPr>
        <sz val="10"/>
        <rFont val="Arial"/>
        <family val="2"/>
      </rPr>
      <t xml:space="preserve"> Lu.R</t>
    </r>
  </si>
  <si>
    <t>Average 14 x AUS C31, F9A</t>
  </si>
  <si>
    <t>Jib Area - Headboard</t>
  </si>
  <si>
    <r>
      <t xml:space="preserve">Area = </t>
    </r>
    <r>
      <rPr>
        <sz val="9"/>
        <rFont val="Arial"/>
        <family val="2"/>
      </rPr>
      <t>(0.5*LL*LPG)+((2/3)*LL*LLRG)+((2/3)*FG*FRG)+(0.5*LG1*HG)+(IF((HG &gt; 0),((2/3)*LG2*LRG),((2/3)*LG1*LRG)))</t>
    </r>
  </si>
  <si>
    <r>
      <t>F-31</t>
    </r>
    <r>
      <rPr>
        <sz val="10"/>
        <rFont val="Arial"/>
        <family val="2"/>
      </rPr>
      <t xml:space="preserve">: </t>
    </r>
    <r>
      <rPr>
        <sz val="8"/>
        <rFont val="Arial"/>
        <family val="2"/>
      </rPr>
      <t>Class Luff, LP, batten @ Head</t>
    </r>
  </si>
  <si>
    <t>OMR Txl.AUS</t>
  </si>
  <si>
    <t>ISAF Txl.NDL</t>
  </si>
  <si>
    <t>ORC HPR</t>
  </si>
  <si>
    <r>
      <t>S9 = LL</t>
    </r>
    <r>
      <rPr>
        <sz val="8"/>
        <rFont val="Arial"/>
        <family val="2"/>
      </rPr>
      <t xml:space="preserve"> a </t>
    </r>
    <r>
      <rPr>
        <b/>
        <sz val="9"/>
        <rFont val="Arial"/>
        <family val="2"/>
      </rPr>
      <t>x LPG / 2</t>
    </r>
    <r>
      <rPr>
        <sz val="8"/>
        <rFont val="Arial"/>
        <family val="2"/>
      </rPr>
      <t xml:space="preserve"> (Triangle)</t>
    </r>
  </si>
  <si>
    <t>LL</t>
  </si>
  <si>
    <r>
      <t>a</t>
    </r>
    <r>
      <rPr>
        <sz val="8"/>
        <color indexed="17"/>
        <rFont val="Arial"/>
        <family val="2"/>
      </rPr>
      <t xml:space="preserve"> luff</t>
    </r>
  </si>
  <si>
    <t>JL</t>
  </si>
  <si>
    <r>
      <t>S10 = 2/3 FG</t>
    </r>
    <r>
      <rPr>
        <sz val="8"/>
        <color indexed="12"/>
        <rFont val="Arial"/>
        <family val="2"/>
      </rPr>
      <t xml:space="preserve"> b</t>
    </r>
    <r>
      <rPr>
        <b/>
        <sz val="8"/>
        <color indexed="12"/>
        <rFont val="Arial"/>
        <family val="2"/>
      </rPr>
      <t xml:space="preserve"> x FRG</t>
    </r>
    <r>
      <rPr>
        <sz val="8"/>
        <color indexed="12"/>
        <rFont val="Arial"/>
        <family val="2"/>
      </rPr>
      <t xml:space="preserve"> h10 (Foot)</t>
    </r>
  </si>
  <si>
    <r>
      <t>h</t>
    </r>
    <r>
      <rPr>
        <sz val="8"/>
        <rFont val="Arial"/>
        <family val="2"/>
      </rPr>
      <t xml:space="preserve"> lpg</t>
    </r>
  </si>
  <si>
    <r>
      <rPr>
        <b/>
        <sz val="8"/>
        <color rgb="FF990000"/>
        <rFont val="Arial"/>
        <family val="2"/>
      </rPr>
      <t>S11 = 1/2 HG x</t>
    </r>
    <r>
      <rPr>
        <b/>
        <sz val="8"/>
        <color indexed="10"/>
        <rFont val="Arial"/>
        <family val="2"/>
      </rPr>
      <t xml:space="preserve"> </t>
    </r>
    <r>
      <rPr>
        <b/>
        <sz val="8"/>
        <color rgb="FF7030A0"/>
        <rFont val="Arial"/>
        <family val="2"/>
      </rPr>
      <t>LG2</t>
    </r>
  </si>
  <si>
    <t>FG</t>
  </si>
  <si>
    <r>
      <t>b</t>
    </r>
    <r>
      <rPr>
        <sz val="8"/>
        <color indexed="12"/>
        <rFont val="Arial"/>
        <family val="2"/>
      </rPr>
      <t xml:space="preserve"> foot</t>
    </r>
  </si>
  <si>
    <r>
      <t xml:space="preserve">S12 = 2/3 LL </t>
    </r>
    <r>
      <rPr>
        <sz val="8"/>
        <color indexed="17"/>
        <rFont val="Arial"/>
        <family val="2"/>
      </rPr>
      <t xml:space="preserve">a </t>
    </r>
    <r>
      <rPr>
        <b/>
        <sz val="8"/>
        <color indexed="17"/>
        <rFont val="Arial"/>
        <family val="2"/>
      </rPr>
      <t xml:space="preserve">x LLRG </t>
    </r>
    <r>
      <rPr>
        <sz val="8"/>
        <color indexed="17"/>
        <rFont val="Arial"/>
        <family val="2"/>
      </rPr>
      <t>h12 (Luff)</t>
    </r>
  </si>
  <si>
    <t>FRG</t>
  </si>
  <si>
    <t>h10</t>
  </si>
  <si>
    <r>
      <t>S13 = 2/3 LG2 x LRG</t>
    </r>
    <r>
      <rPr>
        <sz val="8"/>
        <color indexed="20"/>
        <rFont val="Arial"/>
        <family val="2"/>
      </rPr>
      <t xml:space="preserve"> h11</t>
    </r>
    <r>
      <rPr>
        <b/>
        <sz val="8"/>
        <rFont val="Arial"/>
        <family val="2"/>
      </rPr>
      <t/>
    </r>
  </si>
  <si>
    <t>LG1</t>
  </si>
  <si>
    <r>
      <t>C</t>
    </r>
    <r>
      <rPr>
        <sz val="8"/>
        <color indexed="10"/>
        <rFont val="Arial"/>
        <family val="2"/>
      </rPr>
      <t>1 leech</t>
    </r>
  </si>
  <si>
    <t>LG2</t>
  </si>
  <si>
    <r>
      <t>C</t>
    </r>
    <r>
      <rPr>
        <sz val="8"/>
        <color indexed="20"/>
        <rFont val="Arial"/>
        <family val="2"/>
      </rPr>
      <t>2 leech</t>
    </r>
  </si>
  <si>
    <t>HG</t>
  </si>
  <si>
    <t>hw</t>
  </si>
  <si>
    <t>JH</t>
  </si>
  <si>
    <t>LRG</t>
  </si>
  <si>
    <r>
      <t>h11</t>
    </r>
    <r>
      <rPr>
        <sz val="8"/>
        <color rgb="FF7030A0"/>
        <rFont val="Arial"/>
        <family val="2"/>
      </rPr>
      <t xml:space="preserve"> Le.R</t>
    </r>
  </si>
  <si>
    <t>LLRG</t>
  </si>
  <si>
    <t>h12</t>
  </si>
  <si>
    <r>
      <t>Le.mg</t>
    </r>
    <r>
      <rPr>
        <sz val="6"/>
        <color rgb="FFCC6600"/>
        <rFont val="Arial"/>
        <family val="2"/>
      </rPr>
      <t xml:space="preserve"> </t>
    </r>
    <r>
      <rPr>
        <sz val="8"/>
        <color rgb="FFCC6600"/>
        <rFont val="Arial"/>
        <family val="2"/>
      </rPr>
      <t xml:space="preserve">1/2 </t>
    </r>
  </si>
  <si>
    <t>JGM</t>
  </si>
  <si>
    <r>
      <rPr>
        <b/>
        <sz val="12"/>
        <color rgb="FF0000FF"/>
        <rFont val="Arial"/>
        <family val="2"/>
      </rPr>
      <t>Jib m</t>
    </r>
    <r>
      <rPr>
        <b/>
        <vertAlign val="superscript"/>
        <sz val="12"/>
        <color rgb="FF0000FF"/>
        <rFont val="Arial"/>
        <family val="2"/>
      </rPr>
      <t>2</t>
    </r>
    <r>
      <rPr>
        <b/>
        <sz val="12"/>
        <rFont val="Arial"/>
        <family val="2"/>
      </rPr>
      <t xml:space="preserve"> </t>
    </r>
    <r>
      <rPr>
        <sz val="8"/>
        <rFont val="Arial"/>
        <family val="2"/>
      </rPr>
      <t>= S9 +/- (S10 S11 S12 S13 S14)</t>
    </r>
  </si>
  <si>
    <t>(ISAF ~ Texel) / Triangle</t>
  </si>
  <si>
    <r>
      <t>Jib ft</t>
    </r>
    <r>
      <rPr>
        <b/>
        <vertAlign val="superscript"/>
        <sz val="11"/>
        <rFont val="Arial"/>
        <family val="2"/>
      </rPr>
      <t>2</t>
    </r>
    <r>
      <rPr>
        <b/>
        <sz val="12"/>
        <rFont val="Arial"/>
        <family val="2"/>
      </rPr>
      <t/>
    </r>
  </si>
  <si>
    <t>Triangle</t>
  </si>
  <si>
    <r>
      <t>CTOA Jib ft</t>
    </r>
    <r>
      <rPr>
        <vertAlign val="superscript"/>
        <sz val="6"/>
        <rFont val="Arial"/>
        <family val="2"/>
      </rPr>
      <t>2</t>
    </r>
  </si>
  <si>
    <t>90"</t>
  </si>
  <si>
    <t>JGM, Le.mg Class Rule US</t>
  </si>
  <si>
    <r>
      <rPr>
        <b/>
        <sz val="8"/>
        <rFont val="Arial"/>
        <family val="2"/>
      </rPr>
      <t>ORC 111.1</t>
    </r>
    <r>
      <rPr>
        <sz val="8"/>
        <rFont val="Arial"/>
        <family val="2"/>
      </rPr>
      <t xml:space="preserve"> Jib/Genoa/Code0/Gennaker </t>
    </r>
    <r>
      <rPr>
        <b/>
        <sz val="8"/>
        <rFont val="Arial"/>
        <family val="2"/>
      </rPr>
      <t>(HPR)</t>
    </r>
  </si>
  <si>
    <r>
      <t>Area = 0.1125× JL× (1.445× LPG + 2× JGL + 2× JGM +1.5× JGU + JGT + 0.5× JH) +</t>
    </r>
    <r>
      <rPr>
        <sz val="8"/>
        <color rgb="FF0000FF"/>
        <rFont val="Arial"/>
        <family val="2"/>
      </rPr>
      <t xml:space="preserve"> (2/3 x Ft x Ft.Roach)</t>
    </r>
  </si>
  <si>
    <t>Mast Circumference</t>
  </si>
  <si>
    <r>
      <rPr>
        <b/>
        <sz val="10"/>
        <rFont val="Arial"/>
        <family val="2"/>
      </rPr>
      <t>MC :=</t>
    </r>
    <r>
      <rPr>
        <sz val="10"/>
        <rFont val="Arial"/>
        <family val="2"/>
      </rPr>
      <t xml:space="preserve"> </t>
    </r>
    <r>
      <rPr>
        <b/>
        <sz val="11"/>
        <color indexed="10"/>
        <rFont val="Arial"/>
        <family val="2"/>
      </rPr>
      <t>Rotating Masts Only</t>
    </r>
    <r>
      <rPr>
        <sz val="10"/>
        <rFont val="Arial"/>
        <family val="2"/>
      </rPr>
      <t xml:space="preserve"> - tape or paper around mast above boom and measure from tick marks.  Please report on the Rating Application in metric or inches.</t>
    </r>
  </si>
  <si>
    <t>Boat</t>
  </si>
  <si>
    <t>MC</t>
  </si>
  <si>
    <t>Comments</t>
  </si>
  <si>
    <t>Orion</t>
  </si>
  <si>
    <t>C. Ogletree</t>
  </si>
  <si>
    <t>Vamonos!</t>
  </si>
  <si>
    <t>M.Park</t>
  </si>
  <si>
    <t>Native, Newick Tri</t>
  </si>
  <si>
    <t>w</t>
  </si>
  <si>
    <t>Blue Tape, taper above spin.halyard (img_0060...)</t>
  </si>
  <si>
    <t>Antrim 30</t>
  </si>
  <si>
    <t>t</t>
  </si>
  <si>
    <t>TB.verified, Erin #28910</t>
  </si>
  <si>
    <t>Extreme 40, Smart Recruiters</t>
  </si>
  <si>
    <t>Texel Denmark MC, Extreme40 #4, SEB</t>
  </si>
  <si>
    <t>Humdinger, Acapella Tri</t>
  </si>
  <si>
    <t>Owner TB.Verified</t>
  </si>
  <si>
    <t>Formula 40 Tuki</t>
  </si>
  <si>
    <t>Blue Tape</t>
  </si>
  <si>
    <t>Formula 40 Shadow</t>
  </si>
  <si>
    <t>a</t>
  </si>
  <si>
    <t>Blue tape, 1st pass, taper above hounds</t>
  </si>
  <si>
    <t>Seacart 30 Wegwezen</t>
  </si>
  <si>
    <t>Texel.NDL 82</t>
  </si>
  <si>
    <t>D-Class Cat Adrenaline Marstrom</t>
  </si>
  <si>
    <t>Assumption, not measured pre-Delta.Ditch @RichmondYC</t>
  </si>
  <si>
    <t>SL-33 #4</t>
  </si>
  <si>
    <t>Blue Tape, Alameda Marina</t>
  </si>
  <si>
    <t>C-37R, Miss Saigon</t>
  </si>
  <si>
    <t>P.Harper THA</t>
  </si>
  <si>
    <t>C-37R, Zhuka</t>
  </si>
  <si>
    <t>Viva 27 Cat Sass</t>
  </si>
  <si>
    <t>Estimate, w/o measure pre-Delta.Ditch @RichmondYC</t>
  </si>
  <si>
    <t>Seacart 30, Thor</t>
  </si>
  <si>
    <t>M.Pescott/THA</t>
  </si>
  <si>
    <t>Contour 34SC</t>
  </si>
  <si>
    <t xml:space="preserve">Blue.Tape, measured by owner </t>
  </si>
  <si>
    <t>Marstrom32</t>
  </si>
  <si>
    <t>preliminary</t>
  </si>
  <si>
    <t>Corsair 31RS Leneman</t>
  </si>
  <si>
    <t>Blue Tape, C-31RS #28543 Prime Directive</t>
  </si>
  <si>
    <t>Seacart 26</t>
  </si>
  <si>
    <t>Diam 24</t>
  </si>
  <si>
    <t>P. Boyed / AUS for Nationals.AUS</t>
  </si>
  <si>
    <t>ADH Inotec x F. Bouju</t>
  </si>
  <si>
    <t>Dash 750.AUS</t>
  </si>
  <si>
    <t>S.Barton/G.Scott AUS</t>
  </si>
  <si>
    <t>Dash 750.THA</t>
  </si>
  <si>
    <t>P.Herning/M.Pescott THA</t>
  </si>
  <si>
    <t>D-Class Cat Rocket88</t>
  </si>
  <si>
    <t>Wet, 1st pass</t>
  </si>
  <si>
    <t>D-Class Cat Beowulf V Marstrom</t>
  </si>
  <si>
    <t>Corsair 28R Section</t>
  </si>
  <si>
    <t>Corsair 28R Marstrom</t>
  </si>
  <si>
    <t>Blue Tape C-28R, Alameda Marina</t>
  </si>
  <si>
    <t>Corsair 31R Marstrom</t>
  </si>
  <si>
    <t>Blue Tape C-31R #135 Roshambo, Alameda Marina</t>
  </si>
  <si>
    <t>Corsair Sprint 750</t>
  </si>
  <si>
    <t>Blue Tape Sprint 750 #70 Afterburner, Alameda Marina</t>
  </si>
  <si>
    <t>Corsair Pulse 600</t>
  </si>
  <si>
    <t>Blue Tape Pulse 600 Origami II Treasure Island Sailing Center</t>
  </si>
  <si>
    <t>Corsair 24 Mk II</t>
  </si>
  <si>
    <t>Blue tape C-24MkII #006 Emma Jean, Alameda Marina</t>
  </si>
  <si>
    <t>Multi23</t>
  </si>
  <si>
    <t>Blue tape M. Leneman, US Tri.Nationals, standard section</t>
  </si>
  <si>
    <r>
      <t>Mast Area added to mainsail area,</t>
    </r>
    <r>
      <rPr>
        <b/>
        <sz val="10"/>
        <rFont val="Arial"/>
        <family val="2"/>
      </rPr>
      <t xml:space="preserve"> IF and ONLY IF</t>
    </r>
    <r>
      <rPr>
        <sz val="10"/>
        <rFont val="Arial"/>
        <family val="2"/>
      </rPr>
      <t>, the mast rotates</t>
    </r>
  </si>
  <si>
    <t xml:space="preserve">Mast Area = 1/2 * Mast Circumference* P ( mainsail luff, Vertical Luff Mainsail ) </t>
  </si>
  <si>
    <t>No Correction Factor (CF) on airfoil shape, carbon, weight difference vs. aluminum, …</t>
  </si>
  <si>
    <t>CF-Carbon Mast may be added later (ref: Multi2000 (FRA), MOCRA (UK) )</t>
  </si>
  <si>
    <t>a: aluminum</t>
  </si>
  <si>
    <t>Example Mainsail Measurements: Extreme 20</t>
  </si>
  <si>
    <t>Texel/ISAF Extreme 20</t>
  </si>
  <si>
    <r>
      <t>m</t>
    </r>
    <r>
      <rPr>
        <vertAlign val="superscript"/>
        <sz val="8"/>
        <rFont val="Arial"/>
        <family val="2"/>
      </rPr>
      <t>2</t>
    </r>
  </si>
  <si>
    <r>
      <t>ft</t>
    </r>
    <r>
      <rPr>
        <vertAlign val="superscript"/>
        <sz val="8"/>
        <rFont val="Arial"/>
        <family val="2"/>
      </rPr>
      <t>2</t>
    </r>
  </si>
  <si>
    <t>Area</t>
  </si>
  <si>
    <t>S1 VLM1 Lu</t>
  </si>
  <si>
    <t>H1</t>
  </si>
  <si>
    <t>mtr1</t>
  </si>
  <si>
    <t>P1</t>
  </si>
  <si>
    <t>segm1</t>
  </si>
  <si>
    <t>S2 Foot</t>
  </si>
  <si>
    <t>P2</t>
  </si>
  <si>
    <t>segm2</t>
  </si>
  <si>
    <t>S3 Le</t>
  </si>
  <si>
    <t>H3</t>
  </si>
  <si>
    <t>mtr3</t>
  </si>
  <si>
    <t>S4</t>
  </si>
  <si>
    <t>H4</t>
  </si>
  <si>
    <t>tr4</t>
  </si>
  <si>
    <t>S5</t>
  </si>
  <si>
    <t>P5</t>
  </si>
  <si>
    <t>segm5</t>
  </si>
  <si>
    <t>S6</t>
  </si>
  <si>
    <t>P6</t>
  </si>
  <si>
    <t>segm6</t>
  </si>
  <si>
    <t>S7</t>
  </si>
  <si>
    <t>P7</t>
  </si>
  <si>
    <t>tr7</t>
  </si>
  <si>
    <t>S8</t>
  </si>
  <si>
    <t>P8</t>
  </si>
  <si>
    <t>segm8</t>
  </si>
  <si>
    <t>Lu.Girths MeasuredArea -below H.Area</t>
  </si>
  <si>
    <r>
      <rPr>
        <sz val="4"/>
        <rFont val="Webdings"/>
        <family val="1"/>
        <charset val="2"/>
      </rPr>
      <t xml:space="preserve"> </t>
    </r>
    <r>
      <rPr>
        <sz val="6"/>
        <rFont val="Webdings"/>
        <family val="1"/>
        <charset val="2"/>
      </rPr>
      <t>c</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</si>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</sst>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m\ d\,\ yyyy;@"/>
    <numFmt numFmtId="165" formatCode="0.000"/>
    <numFmt numFmtId="166" formatCode="0.0"/>
    <numFmt numFmtId="167" formatCode="mm/dd/yy;@"/>
    <numFmt numFmtId="168" formatCode="0.0000"/>
    <numFmt numFmtId="169" formatCode="0.0%"/>
    <numFmt numFmtId="170" formatCode="0.00000"/>
  </numFmts>
  <fonts count="184">
    <font>
      <sz val="10"/>
      <color theme="1"/>
      <name val="Arial"/>
      <family val="2"/>
    </font>
    <font>
      <sz val="10"/>
      <color theme="1"/>
      <name val="Arial"/>
      <family val="2"/>
    </font>
    <font>
      <sz val="10"/>
      <color rgb="FFFF0000"/>
      <name val="Arial"/>
      <family val="2"/>
    </font>
    <font>
      <b/>
      <sz val="10"/>
      <color theme="1"/>
      <name val="Arial"/>
      <family val="2"/>
    </font>
    <font>
      <sz val="10"/>
      <name val="Arial"/>
      <family val="2"/>
    </font>
    <font>
      <b/>
      <sz val="16"/>
      <name val="Arial"/>
      <family val="2"/>
    </font>
    <font>
      <b/>
      <sz val="11"/>
      <name val="Arial"/>
      <family val="2"/>
    </font>
    <font>
      <sz val="4"/>
      <name val="Arial"/>
      <family val="2"/>
    </font>
    <font>
      <sz val="9"/>
      <name val="Arial"/>
      <family val="2"/>
    </font>
    <font>
      <b/>
      <sz val="10"/>
      <name val="Arial"/>
      <family val="2"/>
    </font>
    <font>
      <b/>
      <sz val="12"/>
      <name val="Arial"/>
      <family val="2"/>
    </font>
    <font>
      <sz val="8"/>
      <color theme="1" tint="0.499984740745262"/>
      <name val="Arial"/>
      <family val="2"/>
    </font>
    <font>
      <b/>
      <sz val="14"/>
      <name val="Arial"/>
      <family val="2"/>
    </font>
    <font>
      <b/>
      <sz val="18"/>
      <name val="Arial"/>
      <family val="2"/>
    </font>
    <font>
      <sz val="8"/>
      <name val="Arial"/>
      <family val="2"/>
    </font>
    <font>
      <b/>
      <sz val="8"/>
      <name val="Arial"/>
      <family val="2"/>
    </font>
    <font>
      <b/>
      <sz val="9"/>
      <name val="Arial"/>
      <family val="2"/>
    </font>
    <font>
      <sz val="9"/>
      <color theme="1" tint="0.249977111117893"/>
      <name val="Arial"/>
      <family val="2"/>
    </font>
    <font>
      <sz val="8"/>
      <color theme="0" tint="-0.499984740745262"/>
      <name val="Arial"/>
      <family val="2"/>
    </font>
    <font>
      <b/>
      <sz val="4"/>
      <name val="Arial"/>
      <family val="2"/>
    </font>
    <font>
      <b/>
      <sz val="8"/>
      <color rgb="FFC00000"/>
      <name val="Arial"/>
      <family val="2"/>
    </font>
    <font>
      <sz val="11"/>
      <name val="Arial"/>
      <family val="2"/>
    </font>
    <font>
      <b/>
      <sz val="14"/>
      <color indexed="12"/>
      <name val="Arial"/>
      <family val="2"/>
    </font>
    <font>
      <b/>
      <sz val="12"/>
      <color indexed="12"/>
      <name val="Arial"/>
      <family val="2"/>
    </font>
    <font>
      <sz val="12"/>
      <name val="Arial"/>
      <family val="2"/>
    </font>
    <font>
      <sz val="10"/>
      <color rgb="FF555555"/>
      <name val="Arial"/>
      <family val="2"/>
    </font>
    <font>
      <sz val="8"/>
      <color rgb="FF555555"/>
      <name val="Arial"/>
      <family val="2"/>
    </font>
    <font>
      <sz val="10"/>
      <color indexed="12"/>
      <name val="Arial"/>
      <family val="2"/>
    </font>
    <font>
      <sz val="12"/>
      <color indexed="12"/>
      <name val="Arial"/>
      <family val="2"/>
    </font>
    <font>
      <sz val="9"/>
      <name val="Geneva"/>
    </font>
    <font>
      <sz val="6"/>
      <name val="Webdings"/>
      <family val="1"/>
      <charset val="2"/>
    </font>
    <font>
      <sz val="8"/>
      <name val="Wingdings"/>
      <charset val="2"/>
    </font>
    <font>
      <sz val="8"/>
      <name val="Webdings"/>
      <family val="1"/>
      <charset val="2"/>
    </font>
    <font>
      <sz val="8"/>
      <color rgb="FF7575FF"/>
      <name val="Arial"/>
      <family val="2"/>
    </font>
    <font>
      <b/>
      <sz val="6"/>
      <color rgb="FF7575FF"/>
      <name val="Webdings"/>
      <family val="1"/>
      <charset val="2"/>
    </font>
    <font>
      <sz val="8"/>
      <color rgb="FF7575FF"/>
      <name val="Wingdings"/>
      <charset val="2"/>
    </font>
    <font>
      <sz val="6"/>
      <name val="Arial"/>
      <family val="2"/>
    </font>
    <font>
      <sz val="4"/>
      <color theme="1" tint="0.34998626667073579"/>
      <name val="Arial"/>
      <family val="2"/>
    </font>
    <font>
      <sz val="8"/>
      <color indexed="12"/>
      <name val="Arial"/>
      <family val="2"/>
    </font>
    <font>
      <b/>
      <sz val="11"/>
      <color rgb="FF0000FF"/>
      <name val="Arial"/>
      <family val="2"/>
    </font>
    <font>
      <sz val="9"/>
      <color rgb="FF0000FF"/>
      <name val="Arial"/>
      <family val="2"/>
    </font>
    <font>
      <sz val="8"/>
      <color rgb="FF0000FF"/>
      <name val="Arial"/>
      <family val="2"/>
    </font>
    <font>
      <sz val="9"/>
      <color rgb="FF7575FF"/>
      <name val="Arial"/>
      <family val="2"/>
    </font>
    <font>
      <sz val="10"/>
      <color theme="0" tint="-0.499984740745262"/>
      <name val="Arial"/>
      <family val="2"/>
    </font>
    <font>
      <b/>
      <sz val="9"/>
      <color rgb="FF0000FF"/>
      <name val="Arial"/>
      <family val="2"/>
    </font>
    <font>
      <sz val="10"/>
      <color rgb="FF0000FF"/>
      <name val="Arial"/>
      <family val="2"/>
    </font>
    <font>
      <sz val="4"/>
      <color rgb="FF0000FF"/>
      <name val="Arial"/>
      <family val="2"/>
    </font>
    <font>
      <b/>
      <sz val="11"/>
      <color indexed="12"/>
      <name val="Arial"/>
      <family val="2"/>
    </font>
    <font>
      <sz val="10"/>
      <color indexed="23"/>
      <name val="Arial"/>
      <family val="2"/>
    </font>
    <font>
      <sz val="9"/>
      <color indexed="12"/>
      <name val="Arial"/>
      <family val="2"/>
    </font>
    <font>
      <sz val="10"/>
      <color rgb="FF7575FF"/>
      <name val="Arial"/>
      <family val="2"/>
    </font>
    <font>
      <sz val="9"/>
      <color theme="0" tint="-0.499984740745262"/>
      <name val="Arial"/>
      <family val="2"/>
    </font>
    <font>
      <sz val="9"/>
      <color theme="1" tint="0.499984740745262"/>
      <name val="Arial"/>
      <family val="2"/>
    </font>
    <font>
      <b/>
      <sz val="10"/>
      <color indexed="12"/>
      <name val="Arial"/>
      <family val="2"/>
    </font>
    <font>
      <sz val="11"/>
      <color theme="1"/>
      <name val="Calibri"/>
      <family val="2"/>
      <scheme val="minor"/>
    </font>
    <font>
      <sz val="6"/>
      <color rgb="FF0000FF"/>
      <name val="Arial"/>
      <family val="2"/>
    </font>
    <font>
      <sz val="11"/>
      <color indexed="12"/>
      <name val="Arial"/>
      <family val="2"/>
    </font>
    <font>
      <u/>
      <sz val="10"/>
      <color indexed="12"/>
      <name val="Arial"/>
      <family val="2"/>
    </font>
    <font>
      <u/>
      <sz val="8"/>
      <color indexed="12"/>
      <name val="Arial"/>
      <family val="2"/>
    </font>
    <font>
      <b/>
      <sz val="12"/>
      <color rgb="FF0000FF"/>
      <name val="Arial"/>
      <family val="2"/>
    </font>
    <font>
      <sz val="6"/>
      <color theme="0" tint="-0.499984740745262"/>
      <name val="Arial"/>
      <family val="2"/>
    </font>
    <font>
      <b/>
      <sz val="16"/>
      <color indexed="12"/>
      <name val="Arial"/>
      <family val="2"/>
    </font>
    <font>
      <b/>
      <sz val="8"/>
      <color rgb="FF0000FF"/>
      <name val="Arial"/>
      <family val="2"/>
    </font>
    <font>
      <b/>
      <sz val="10"/>
      <color rgb="FF0000FF"/>
      <name val="Arial"/>
      <family val="2"/>
    </font>
    <font>
      <sz val="11"/>
      <color rgb="FFB9B9FF"/>
      <name val="Arial"/>
      <family val="2"/>
    </font>
    <font>
      <sz val="11"/>
      <color theme="1" tint="0.499984740745262"/>
      <name val="Arial"/>
      <family val="2"/>
    </font>
    <font>
      <vertAlign val="superscript"/>
      <sz val="6"/>
      <name val="Arial"/>
      <family val="2"/>
    </font>
    <font>
      <sz val="9"/>
      <color rgb="FFB9B9FF"/>
      <name val="Arial"/>
      <family val="2"/>
    </font>
    <font>
      <sz val="8"/>
      <color theme="1" tint="0.34998626667073579"/>
      <name val="Arial"/>
      <family val="2"/>
    </font>
    <font>
      <vertAlign val="superscript"/>
      <sz val="8"/>
      <name val="Arial"/>
      <family val="2"/>
    </font>
    <font>
      <sz val="8"/>
      <color theme="1"/>
      <name val="Calibri"/>
      <family val="2"/>
      <scheme val="minor"/>
    </font>
    <font>
      <b/>
      <sz val="14"/>
      <color rgb="FF0000FF"/>
      <name val="Arial"/>
      <family val="2"/>
    </font>
    <font>
      <sz val="4"/>
      <color theme="1"/>
      <name val="Arial"/>
      <family val="2"/>
    </font>
    <font>
      <sz val="4"/>
      <color theme="1"/>
      <name val="Calibri"/>
      <family val="2"/>
      <scheme val="minor"/>
    </font>
    <font>
      <sz val="11"/>
      <color theme="1"/>
      <name val="Arial"/>
      <family val="2"/>
    </font>
    <font>
      <sz val="12"/>
      <color theme="1"/>
      <name val="Arial"/>
      <family val="2"/>
    </font>
    <font>
      <b/>
      <sz val="12"/>
      <color rgb="FFFF0000"/>
      <name val="Arial"/>
      <family val="2"/>
    </font>
    <font>
      <b/>
      <sz val="12"/>
      <color rgb="FF008000"/>
      <name val="Arial"/>
      <family val="2"/>
    </font>
    <font>
      <b/>
      <sz val="8"/>
      <color theme="1"/>
      <name val="Arial"/>
      <family val="2"/>
    </font>
    <font>
      <sz val="9"/>
      <color theme="1"/>
      <name val="Arial"/>
      <family val="2"/>
    </font>
    <font>
      <b/>
      <sz val="9"/>
      <color theme="1"/>
      <name val="Arial"/>
      <family val="2"/>
    </font>
    <font>
      <b/>
      <sz val="11"/>
      <color theme="1"/>
      <name val="Arial"/>
      <family val="2"/>
    </font>
    <font>
      <vertAlign val="superscript"/>
      <sz val="6"/>
      <color theme="1"/>
      <name val="Arial"/>
      <family val="2"/>
    </font>
    <font>
      <i/>
      <sz val="8"/>
      <name val="Arial"/>
      <family val="2"/>
    </font>
    <font>
      <b/>
      <sz val="10"/>
      <color rgb="FF7575FF"/>
      <name val="Arial"/>
      <family val="2"/>
    </font>
    <font>
      <sz val="10"/>
      <color theme="1"/>
      <name val="Calibri"/>
      <family val="2"/>
      <scheme val="minor"/>
    </font>
    <font>
      <u/>
      <sz val="11"/>
      <color theme="10"/>
      <name val="Calibri"/>
      <family val="2"/>
      <scheme val="minor"/>
    </font>
    <font>
      <b/>
      <u/>
      <sz val="10"/>
      <color theme="10"/>
      <name val="Arial"/>
      <family val="2"/>
    </font>
    <font>
      <b/>
      <sz val="11"/>
      <color rgb="FFFF0000"/>
      <name val="Arial"/>
      <family val="2"/>
    </font>
    <font>
      <sz val="8"/>
      <color rgb="FFFF0000"/>
      <name val="Arial"/>
      <family val="2"/>
    </font>
    <font>
      <b/>
      <sz val="8"/>
      <color rgb="FFFF0000"/>
      <name val="Arial"/>
      <family val="2"/>
    </font>
    <font>
      <b/>
      <sz val="11"/>
      <color rgb="FF008000"/>
      <name val="Arial"/>
      <family val="2"/>
    </font>
    <font>
      <b/>
      <u/>
      <sz val="8"/>
      <color theme="10"/>
      <name val="Arial"/>
      <family val="2"/>
    </font>
    <font>
      <b/>
      <sz val="8"/>
      <color rgb="FF008000"/>
      <name val="Arial"/>
      <family val="2"/>
    </font>
    <font>
      <b/>
      <sz val="6"/>
      <name val="Arial"/>
      <family val="2"/>
    </font>
    <font>
      <sz val="10"/>
      <color rgb="FFC00000"/>
      <name val="Arial"/>
      <family val="2"/>
    </font>
    <font>
      <sz val="8"/>
      <color theme="0" tint="-0.249977111117893"/>
      <name val="Arial"/>
      <family val="2"/>
    </font>
    <font>
      <b/>
      <sz val="12"/>
      <color theme="1" tint="0.499984740745262"/>
      <name val="Arial"/>
      <family val="2"/>
    </font>
    <font>
      <vertAlign val="superscript"/>
      <sz val="6"/>
      <color rgb="FF0000FF"/>
      <name val="Arial"/>
      <family val="2"/>
    </font>
    <font>
      <sz val="8"/>
      <color theme="1" tint="0.249977111117893"/>
      <name val="Arial"/>
      <family val="2"/>
    </font>
    <font>
      <b/>
      <sz val="10"/>
      <color theme="1" tint="0.499984740745262"/>
      <name val="Arial"/>
      <family val="2"/>
    </font>
    <font>
      <sz val="9"/>
      <color rgb="FF7030A0"/>
      <name val="Arial"/>
      <family val="2"/>
    </font>
    <font>
      <sz val="8"/>
      <color rgb="FF7030A0"/>
      <name val="Arial"/>
      <family val="2"/>
    </font>
    <font>
      <b/>
      <sz val="10"/>
      <color rgb="FF008000"/>
      <name val="Arial"/>
      <family val="2"/>
    </font>
    <font>
      <sz val="8"/>
      <color rgb="FF008000"/>
      <name val="Arial"/>
      <family val="2"/>
    </font>
    <font>
      <sz val="9"/>
      <color rgb="FFFF0000"/>
      <name val="Arial"/>
      <family val="2"/>
    </font>
    <font>
      <b/>
      <sz val="4"/>
      <color rgb="FF0000FF"/>
      <name val="Arial"/>
      <family val="2"/>
    </font>
    <font>
      <b/>
      <sz val="9"/>
      <color indexed="12"/>
      <name val="Arial"/>
      <family val="2"/>
    </font>
    <font>
      <sz val="9"/>
      <color indexed="48"/>
      <name val="Arial"/>
      <family val="2"/>
    </font>
    <font>
      <b/>
      <sz val="8"/>
      <color indexed="12"/>
      <name val="Arial"/>
      <family val="2"/>
    </font>
    <font>
      <sz val="8"/>
      <color indexed="48"/>
      <name val="Arial"/>
      <family val="2"/>
    </font>
    <font>
      <sz val="4"/>
      <color indexed="48"/>
      <name val="Arial"/>
      <family val="2"/>
    </font>
    <font>
      <b/>
      <sz val="9"/>
      <color rgb="FF7030A0"/>
      <name val="Arial"/>
      <family val="2"/>
    </font>
    <font>
      <vertAlign val="superscript"/>
      <sz val="9"/>
      <color theme="1" tint="0.499984740745262"/>
      <name val="Arial"/>
      <family val="2"/>
    </font>
    <font>
      <vertAlign val="superscript"/>
      <sz val="6"/>
      <color indexed="12"/>
      <name val="Arial"/>
      <family val="2"/>
    </font>
    <font>
      <sz val="9"/>
      <color rgb="FF7575FF"/>
      <name val="Wingdings"/>
      <charset val="2"/>
    </font>
    <font>
      <sz val="6"/>
      <color theme="1" tint="0.499984740745262"/>
      <name val="Arial"/>
      <family val="2"/>
    </font>
    <font>
      <sz val="10"/>
      <color rgb="FF008000"/>
      <name val="Arial"/>
      <family val="2"/>
    </font>
    <font>
      <sz val="9"/>
      <color rgb="FF008000"/>
      <name val="Arial"/>
      <family val="2"/>
    </font>
    <font>
      <sz val="8"/>
      <color theme="1"/>
      <name val="Arial"/>
      <family val="2"/>
    </font>
    <font>
      <sz val="8"/>
      <color theme="0" tint="-0.34998626667073579"/>
      <name val="Arial"/>
      <family val="2"/>
    </font>
    <font>
      <b/>
      <sz val="10"/>
      <color rgb="FFFF0000"/>
      <name val="Arial"/>
      <family val="2"/>
    </font>
    <font>
      <sz val="9"/>
      <color theme="1"/>
      <name val="Calibri"/>
      <family val="2"/>
      <scheme val="minor"/>
    </font>
    <font>
      <b/>
      <vertAlign val="superscript"/>
      <sz val="11"/>
      <color rgb="FF0000FF"/>
      <name val="Arial"/>
      <family val="2"/>
    </font>
    <font>
      <sz val="8"/>
      <color theme="0" tint="-0.24994659260841701"/>
      <name val="Arial"/>
      <family val="2"/>
    </font>
    <font>
      <b/>
      <i/>
      <sz val="9"/>
      <color indexed="12"/>
      <name val="Arial"/>
      <family val="2"/>
    </font>
    <font>
      <sz val="11"/>
      <color rgb="FF0000FF"/>
      <name val="Arial"/>
      <family val="2"/>
    </font>
    <font>
      <sz val="11"/>
      <color rgb="FF7575FF"/>
      <name val="Arial"/>
      <family val="2"/>
    </font>
    <font>
      <sz val="11"/>
      <color rgb="FF7575FF"/>
      <name val="Wingdings"/>
      <charset val="2"/>
    </font>
    <font>
      <sz val="4"/>
      <color rgb="FF7575FF"/>
      <name val="Wingdings"/>
      <charset val="2"/>
    </font>
    <font>
      <vertAlign val="superscript"/>
      <sz val="10"/>
      <color theme="1"/>
      <name val="Arial"/>
      <family val="2"/>
    </font>
    <font>
      <vertAlign val="superscript"/>
      <sz val="8"/>
      <color theme="1"/>
      <name val="Arial"/>
      <family val="2"/>
    </font>
    <font>
      <vertAlign val="superscript"/>
      <sz val="9"/>
      <color theme="1"/>
      <name val="Arial"/>
      <family val="2"/>
    </font>
    <font>
      <vertAlign val="superscript"/>
      <sz val="10"/>
      <color theme="1" tint="0.499984740745262"/>
      <name val="Arial"/>
      <family val="2"/>
    </font>
    <font>
      <sz val="10"/>
      <color theme="1" tint="0.499984740745262"/>
      <name val="Arial"/>
      <family val="2"/>
    </font>
    <font>
      <sz val="16"/>
      <name val="Arial"/>
      <family val="2"/>
    </font>
    <font>
      <u/>
      <sz val="7.5"/>
      <color indexed="12"/>
      <name val="Verdana"/>
      <family val="2"/>
    </font>
    <font>
      <u/>
      <sz val="4"/>
      <color indexed="12"/>
      <name val="Arial"/>
      <family val="2"/>
    </font>
    <font>
      <b/>
      <u/>
      <sz val="12"/>
      <name val="Arial"/>
      <family val="2"/>
    </font>
    <font>
      <u/>
      <sz val="10"/>
      <color theme="10"/>
      <name val="Arial"/>
      <family val="2"/>
    </font>
    <font>
      <sz val="10"/>
      <color indexed="10"/>
      <name val="Arial"/>
      <family val="2"/>
    </font>
    <font>
      <sz val="8"/>
      <color indexed="63"/>
      <name val="Arial"/>
      <family val="2"/>
    </font>
    <font>
      <sz val="4"/>
      <color indexed="55"/>
      <name val="Arial"/>
      <family val="2"/>
    </font>
    <font>
      <u/>
      <sz val="8"/>
      <color theme="10"/>
      <name val="Arial"/>
      <family val="2"/>
    </font>
    <font>
      <sz val="4"/>
      <color rgb="FF7575FF"/>
      <name val="Arial"/>
      <family val="2"/>
    </font>
    <font>
      <sz val="16"/>
      <color indexed="12"/>
      <name val="Arial"/>
      <family val="2"/>
    </font>
    <font>
      <sz val="16"/>
      <color theme="1"/>
      <name val="Calibri"/>
      <family val="2"/>
      <scheme val="minor"/>
    </font>
    <font>
      <sz val="14"/>
      <color indexed="12"/>
      <name val="Arial"/>
      <family val="2"/>
    </font>
    <font>
      <vertAlign val="superscript"/>
      <sz val="8"/>
      <color indexed="12"/>
      <name val="Arial"/>
      <family val="2"/>
    </font>
    <font>
      <sz val="6"/>
      <color theme="1" tint="0.249977111117893"/>
      <name val="Arial"/>
      <family val="2"/>
    </font>
    <font>
      <b/>
      <i/>
      <sz val="8"/>
      <name val="Arial"/>
      <family val="2"/>
    </font>
    <font>
      <b/>
      <sz val="11"/>
      <color indexed="17"/>
      <name val="Arial"/>
      <family val="2"/>
    </font>
    <font>
      <sz val="10"/>
      <color indexed="8"/>
      <name val="MS Sans Serif"/>
      <family val="2"/>
    </font>
    <font>
      <b/>
      <sz val="10"/>
      <color indexed="10"/>
      <name val="Arial"/>
      <family val="2"/>
    </font>
    <font>
      <b/>
      <sz val="16"/>
      <color rgb="FF0000FF"/>
      <name val="Arial"/>
      <family val="2"/>
    </font>
    <font>
      <sz val="12"/>
      <color rgb="FF0000FF"/>
      <name val="Arial"/>
      <family val="2"/>
    </font>
    <font>
      <b/>
      <sz val="4"/>
      <color indexed="17"/>
      <name val="Arial"/>
      <family val="2"/>
    </font>
    <font>
      <i/>
      <sz val="4"/>
      <name val="Arial"/>
      <family val="2"/>
    </font>
    <font>
      <b/>
      <sz val="10"/>
      <color indexed="17"/>
      <name val="Arial"/>
      <family val="2"/>
    </font>
    <font>
      <sz val="10"/>
      <color indexed="17"/>
      <name val="Arial"/>
      <family val="2"/>
    </font>
    <font>
      <sz val="8"/>
      <color indexed="17"/>
      <name val="Arial"/>
      <family val="2"/>
    </font>
    <font>
      <b/>
      <sz val="8"/>
      <color indexed="10"/>
      <name val="Arial"/>
      <family val="2"/>
    </font>
    <font>
      <b/>
      <sz val="8"/>
      <color rgb="FF990000"/>
      <name val="Arial"/>
      <family val="2"/>
    </font>
    <font>
      <b/>
      <sz val="8"/>
      <color rgb="FF7030A0"/>
      <name val="Arial"/>
      <family val="2"/>
    </font>
    <font>
      <b/>
      <sz val="8"/>
      <color indexed="17"/>
      <name val="Arial"/>
      <family val="2"/>
    </font>
    <font>
      <b/>
      <sz val="8"/>
      <color indexed="20"/>
      <name val="Arial"/>
      <family val="2"/>
    </font>
    <font>
      <sz val="8"/>
      <color indexed="20"/>
      <name val="Arial"/>
      <family val="2"/>
    </font>
    <font>
      <sz val="8"/>
      <color indexed="10"/>
      <name val="Arial"/>
      <family val="2"/>
    </font>
    <font>
      <b/>
      <sz val="10"/>
      <color indexed="20"/>
      <name val="Arial"/>
      <family val="2"/>
    </font>
    <font>
      <sz val="10"/>
      <color indexed="20"/>
      <name val="Arial"/>
      <family val="2"/>
    </font>
    <font>
      <b/>
      <sz val="10"/>
      <color rgb="FF990000"/>
      <name val="Arial"/>
      <family val="2"/>
    </font>
    <font>
      <sz val="10"/>
      <color rgb="FF990000"/>
      <name val="Arial"/>
      <family val="2"/>
    </font>
    <font>
      <sz val="8"/>
      <color rgb="FF990000"/>
      <name val="Arial"/>
      <family val="2"/>
    </font>
    <font>
      <b/>
      <sz val="10"/>
      <color rgb="FF7030A0"/>
      <name val="Arial"/>
      <family val="2"/>
    </font>
    <font>
      <sz val="10"/>
      <color rgb="FF7030A0"/>
      <name val="Arial"/>
      <family val="2"/>
    </font>
    <font>
      <sz val="10"/>
      <color rgb="FFCC6600"/>
      <name val="Arial"/>
      <family val="2"/>
    </font>
    <font>
      <sz val="6"/>
      <color rgb="FFCC6600"/>
      <name val="Arial"/>
      <family val="2"/>
    </font>
    <font>
      <sz val="8"/>
      <color rgb="FFCC6600"/>
      <name val="Arial"/>
      <family val="2"/>
    </font>
    <font>
      <b/>
      <vertAlign val="superscript"/>
      <sz val="12"/>
      <color rgb="FF0000FF"/>
      <name val="Arial"/>
      <family val="2"/>
    </font>
    <font>
      <b/>
      <vertAlign val="superscript"/>
      <sz val="11"/>
      <name val="Arial"/>
      <family val="2"/>
    </font>
    <font>
      <sz val="14"/>
      <name val="Arial"/>
      <family val="2"/>
    </font>
    <font>
      <b/>
      <sz val="11"/>
      <color indexed="10"/>
      <name val="Arial"/>
      <family val="2"/>
    </font>
    <font>
      <sz val="10"/>
      <color indexed="48"/>
      <name val="Arial"/>
      <family val="2"/>
    </font>
    <font>
      <sz val="4"/>
      <name val="Webdings"/>
      <family val="1"/>
      <charset val="2"/>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71">
    <border>
      <left/>
      <right/>
      <top/>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bottom style="thin">
        <color indexed="64"/>
      </bottom>
      <diagonal/>
    </border>
    <border>
      <left style="thin">
        <color theme="0"/>
      </left>
      <right style="thin">
        <color indexed="64"/>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style="thin">
        <color theme="0"/>
      </left>
      <right style="thin">
        <color indexed="64"/>
      </right>
      <top/>
      <bottom style="thin">
        <color theme="0"/>
      </bottom>
      <diagonal/>
    </border>
    <border>
      <left style="thin">
        <color indexed="64"/>
      </left>
      <right style="thin">
        <color indexed="64"/>
      </right>
      <top style="thin">
        <color theme="0"/>
      </top>
      <bottom/>
      <diagonal/>
    </border>
    <border>
      <left/>
      <right/>
      <top/>
      <bottom style="thin">
        <color theme="0"/>
      </bottom>
      <diagonal/>
    </border>
    <border>
      <left/>
      <right style="thin">
        <color theme="0"/>
      </right>
      <top style="thin">
        <color indexed="64"/>
      </top>
      <bottom style="thin">
        <color theme="0"/>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medium">
        <color indexed="10"/>
      </left>
      <right style="medium">
        <color indexed="10"/>
      </right>
      <top style="medium">
        <color indexed="10"/>
      </top>
      <bottom style="medium">
        <color indexed="10"/>
      </bottom>
      <diagonal/>
    </border>
    <border>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theme="0"/>
      </right>
      <top style="thin">
        <color auto="1"/>
      </top>
      <bottom style="thin">
        <color auto="1"/>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style="thin">
        <color indexed="64"/>
      </bottom>
      <diagonal/>
    </border>
  </borders>
  <cellStyleXfs count="17">
    <xf numFmtId="0" fontId="0" fillId="0" borderId="0"/>
    <xf numFmtId="0" fontId="4" fillId="0" borderId="0"/>
    <xf numFmtId="0" fontId="4" fillId="0" borderId="0"/>
    <xf numFmtId="0" fontId="29" fillId="0" borderId="0"/>
    <xf numFmtId="0" fontId="54" fillId="0" borderId="0"/>
    <xf numFmtId="0" fontId="57" fillId="0" borderId="0" applyNumberFormat="0" applyFill="0" applyBorder="0" applyAlignment="0" applyProtection="0">
      <alignment vertical="top"/>
      <protection locked="0"/>
    </xf>
    <xf numFmtId="0" fontId="54" fillId="0" borderId="0"/>
    <xf numFmtId="0" fontId="54" fillId="0" borderId="0"/>
    <xf numFmtId="0" fontId="54" fillId="0" borderId="0"/>
    <xf numFmtId="0" fontId="86" fillId="0" borderId="0" applyNumberFormat="0" applyFill="0" applyBorder="0" applyAlignment="0" applyProtection="0"/>
    <xf numFmtId="0" fontId="54" fillId="0" borderId="0"/>
    <xf numFmtId="0" fontId="4" fillId="0" borderId="0"/>
    <xf numFmtId="0" fontId="136" fillId="0" borderId="0" applyNumberFormat="0" applyFill="0" applyBorder="0" applyAlignment="0" applyProtection="0">
      <alignment vertical="top"/>
      <protection locked="0"/>
    </xf>
    <xf numFmtId="0" fontId="139" fillId="0" borderId="0" applyNumberFormat="0" applyFill="0" applyBorder="0" applyAlignment="0" applyProtection="0"/>
    <xf numFmtId="0" fontId="152" fillId="0" borderId="0"/>
    <xf numFmtId="0" fontId="136" fillId="0" borderId="0" applyNumberFormat="0" applyFill="0" applyBorder="0" applyAlignment="0" applyProtection="0">
      <alignment vertical="top"/>
      <protection locked="0"/>
    </xf>
    <xf numFmtId="0" fontId="4" fillId="0" borderId="0"/>
  </cellStyleXfs>
  <cellXfs count="948">
    <xf numFmtId="0" fontId="0" fillId="0" borderId="0" xfId="0"/>
    <xf numFmtId="0" fontId="5" fillId="0" borderId="1" xfId="1" applyFont="1" applyBorder="1" applyAlignment="1">
      <alignment horizontal="left"/>
    </xf>
    <xf numFmtId="0" fontId="4" fillId="0" borderId="1" xfId="1" applyBorder="1"/>
    <xf numFmtId="0" fontId="6" fillId="0" borderId="1" xfId="1" applyFont="1" applyBorder="1"/>
    <xf numFmtId="0" fontId="6" fillId="0" borderId="1" xfId="1" applyFont="1" applyBorder="1" applyAlignment="1">
      <alignment horizontal="right"/>
    </xf>
    <xf numFmtId="0" fontId="7" fillId="0" borderId="1" xfId="1" applyFont="1" applyBorder="1"/>
    <xf numFmtId="0" fontId="4" fillId="0" borderId="0" xfId="1"/>
    <xf numFmtId="164" fontId="8" fillId="0" borderId="1" xfId="1" applyNumberFormat="1" applyFont="1" applyBorder="1" applyAlignment="1">
      <alignment horizontal="left"/>
    </xf>
    <xf numFmtId="0" fontId="9" fillId="0" borderId="1" xfId="1" applyFont="1" applyBorder="1" applyAlignment="1">
      <alignment horizontal="right"/>
    </xf>
    <xf numFmtId="1" fontId="10" fillId="0" borderId="1" xfId="1" applyNumberFormat="1" applyFont="1" applyBorder="1" applyAlignment="1">
      <alignment horizontal="left" indent="2"/>
    </xf>
    <xf numFmtId="165" fontId="11" fillId="0" borderId="1" xfId="1" applyNumberFormat="1" applyFont="1" applyBorder="1" applyAlignment="1">
      <alignment horizontal="left"/>
    </xf>
    <xf numFmtId="165" fontId="12" fillId="0" borderId="1" xfId="1" applyNumberFormat="1" applyFont="1" applyBorder="1" applyAlignment="1">
      <alignment horizontal="left" indent="2"/>
    </xf>
    <xf numFmtId="0" fontId="4" fillId="0" borderId="1" xfId="1" applyFont="1" applyBorder="1"/>
    <xf numFmtId="0" fontId="13" fillId="0" borderId="1" xfId="1" applyFont="1" applyBorder="1" applyAlignment="1">
      <alignment horizontal="right" indent="3"/>
    </xf>
    <xf numFmtId="165" fontId="14" fillId="0" borderId="1" xfId="1" applyNumberFormat="1" applyFont="1" applyBorder="1" applyAlignment="1">
      <alignment horizontal="center"/>
    </xf>
    <xf numFmtId="14" fontId="14" fillId="0" borderId="1" xfId="1" applyNumberFormat="1" applyFont="1" applyBorder="1"/>
    <xf numFmtId="0" fontId="14" fillId="0" borderId="0" xfId="1" applyFont="1"/>
    <xf numFmtId="0" fontId="15" fillId="0" borderId="1" xfId="1" applyFont="1" applyBorder="1" applyAlignment="1">
      <alignment horizontal="left" indent="2"/>
    </xf>
    <xf numFmtId="0" fontId="14" fillId="0" borderId="1" xfId="1" applyFont="1" applyBorder="1" applyAlignment="1"/>
    <xf numFmtId="0" fontId="15" fillId="0" borderId="1" xfId="1" applyFont="1" applyBorder="1" applyAlignment="1">
      <alignment horizontal="right"/>
    </xf>
    <xf numFmtId="0" fontId="14" fillId="0" borderId="1" xfId="1" applyFont="1" applyBorder="1"/>
    <xf numFmtId="0" fontId="16" fillId="0" borderId="1" xfId="1" applyFont="1" applyBorder="1" applyAlignment="1">
      <alignment horizontal="right"/>
    </xf>
    <xf numFmtId="0" fontId="16" fillId="0" borderId="1" xfId="1" applyFont="1" applyBorder="1" applyAlignment="1">
      <alignment horizontal="left" indent="2"/>
    </xf>
    <xf numFmtId="0" fontId="8" fillId="0" borderId="1" xfId="1" applyFont="1" applyBorder="1" applyAlignment="1"/>
    <xf numFmtId="0" fontId="17" fillId="0" borderId="1" xfId="1" applyFont="1" applyBorder="1" applyAlignment="1"/>
    <xf numFmtId="0" fontId="8" fillId="0" borderId="1" xfId="1" applyFont="1" applyBorder="1"/>
    <xf numFmtId="0" fontId="8" fillId="0" borderId="0" xfId="1" applyFont="1"/>
    <xf numFmtId="0" fontId="14" fillId="0" borderId="2" xfId="2" applyFont="1" applyBorder="1"/>
    <xf numFmtId="1" fontId="18" fillId="0" borderId="1" xfId="1" applyNumberFormat="1" applyFont="1" applyBorder="1" applyAlignment="1"/>
    <xf numFmtId="2" fontId="19" fillId="0" borderId="1" xfId="1" applyNumberFormat="1" applyFont="1" applyBorder="1" applyAlignment="1"/>
    <xf numFmtId="0" fontId="7" fillId="0" borderId="0" xfId="1" applyFont="1"/>
    <xf numFmtId="0" fontId="19" fillId="0" borderId="1" xfId="1" applyFont="1" applyBorder="1" applyAlignment="1"/>
    <xf numFmtId="0" fontId="7" fillId="0" borderId="1" xfId="1" applyFont="1" applyBorder="1" applyAlignment="1"/>
    <xf numFmtId="0" fontId="21" fillId="0" borderId="1" xfId="1" applyFont="1" applyBorder="1" applyAlignment="1">
      <alignment vertical="top" wrapText="1"/>
    </xf>
    <xf numFmtId="0" fontId="4" fillId="0" borderId="1" xfId="1" applyFont="1" applyBorder="1" applyAlignment="1">
      <alignment vertical="top" wrapText="1"/>
    </xf>
    <xf numFmtId="0" fontId="4" fillId="0" borderId="1" xfId="1" applyFont="1" applyBorder="1" applyAlignment="1">
      <alignment horizontal="left" indent="1"/>
    </xf>
    <xf numFmtId="0" fontId="24" fillId="0" borderId="1" xfId="1" applyFont="1" applyBorder="1" applyAlignment="1"/>
    <xf numFmtId="0" fontId="25" fillId="0" borderId="1" xfId="0" applyFont="1" applyBorder="1" applyAlignment="1">
      <alignment vertical="center" wrapText="1"/>
    </xf>
    <xf numFmtId="0" fontId="26" fillId="0" borderId="1" xfId="0" applyFont="1" applyBorder="1" applyAlignment="1">
      <alignment vertical="center"/>
    </xf>
    <xf numFmtId="0" fontId="28" fillId="0" borderId="1" xfId="1" applyFont="1" applyBorder="1" applyAlignment="1">
      <alignment horizontal="left"/>
    </xf>
    <xf numFmtId="0" fontId="4" fillId="0" borderId="1" xfId="1" applyFont="1" applyBorder="1" applyAlignment="1"/>
    <xf numFmtId="0" fontId="21" fillId="0" borderId="1" xfId="1" applyFont="1" applyBorder="1"/>
    <xf numFmtId="0" fontId="4" fillId="0" borderId="0" xfId="1" applyFont="1"/>
    <xf numFmtId="0" fontId="7" fillId="0" borderId="9" xfId="1" applyFont="1" applyBorder="1"/>
    <xf numFmtId="0" fontId="16" fillId="0" borderId="1" xfId="1" applyFont="1" applyBorder="1"/>
    <xf numFmtId="49" fontId="14" fillId="0" borderId="1" xfId="3" applyNumberFormat="1" applyFont="1" applyBorder="1" applyAlignment="1">
      <alignment horizontal="right" vertical="center" wrapText="1"/>
    </xf>
    <xf numFmtId="0" fontId="30" fillId="0" borderId="1" xfId="1" applyFont="1" applyBorder="1" applyAlignment="1">
      <alignment horizontal="left" vertical="center"/>
    </xf>
    <xf numFmtId="49" fontId="14" fillId="0" borderId="1" xfId="3" applyNumberFormat="1" applyFont="1" applyBorder="1" applyAlignment="1">
      <alignment horizontal="right" vertical="center"/>
    </xf>
    <xf numFmtId="0" fontId="14" fillId="0" borderId="1" xfId="1" applyFont="1" applyBorder="1" applyAlignment="1">
      <alignment horizontal="left"/>
    </xf>
    <xf numFmtId="49" fontId="14" fillId="0" borderId="1" xfId="3" applyNumberFormat="1" applyFont="1" applyBorder="1" applyAlignment="1">
      <alignment horizontal="right"/>
    </xf>
    <xf numFmtId="0" fontId="31" fillId="0" borderId="4" xfId="1" applyFont="1" applyBorder="1" applyAlignment="1">
      <alignment horizontal="center"/>
    </xf>
    <xf numFmtId="0" fontId="32" fillId="0" borderId="1" xfId="1" applyFont="1" applyBorder="1" applyAlignment="1">
      <alignment horizontal="center" vertical="center"/>
    </xf>
    <xf numFmtId="0" fontId="30" fillId="0" borderId="1" xfId="1" applyFont="1" applyBorder="1" applyAlignment="1">
      <alignment horizontal="center" vertical="center"/>
    </xf>
    <xf numFmtId="0" fontId="31" fillId="0" borderId="1" xfId="1" applyFont="1" applyBorder="1" applyAlignment="1">
      <alignment horizontal="left"/>
    </xf>
    <xf numFmtId="49" fontId="33" fillId="0" borderId="1" xfId="3" applyNumberFormat="1" applyFont="1" applyBorder="1" applyAlignment="1">
      <alignment horizontal="right"/>
    </xf>
    <xf numFmtId="0" fontId="34" fillId="0" borderId="1" xfId="1" applyFont="1" applyBorder="1" applyAlignment="1">
      <alignment horizontal="left" vertical="center"/>
    </xf>
    <xf numFmtId="0" fontId="14" fillId="0" borderId="0" xfId="1" applyFont="1" applyAlignment="1"/>
    <xf numFmtId="0" fontId="14" fillId="0" borderId="1" xfId="1" applyFont="1" applyBorder="1" applyAlignment="1">
      <alignment vertical="center"/>
    </xf>
    <xf numFmtId="49" fontId="33" fillId="0" borderId="1" xfId="3" applyNumberFormat="1" applyFont="1" applyBorder="1" applyAlignment="1">
      <alignment horizontal="right" vertical="center"/>
    </xf>
    <xf numFmtId="0" fontId="35" fillId="0" borderId="1" xfId="1" applyFont="1" applyBorder="1" applyAlignment="1">
      <alignment horizontal="center" vertical="center"/>
    </xf>
    <xf numFmtId="0" fontId="31" fillId="0" borderId="1" xfId="1" applyFont="1" applyBorder="1" applyAlignment="1">
      <alignment horizontal="left" vertical="center"/>
    </xf>
    <xf numFmtId="0" fontId="14" fillId="0" borderId="0" xfId="1" applyFont="1" applyAlignment="1">
      <alignment vertical="center"/>
    </xf>
    <xf numFmtId="49" fontId="7" fillId="0" borderId="1" xfId="3" applyNumberFormat="1" applyFont="1" applyBorder="1" applyAlignment="1">
      <alignment horizontal="right" vertical="center" wrapText="1"/>
    </xf>
    <xf numFmtId="0" fontId="7" fillId="0" borderId="1" xfId="1" applyFont="1" applyBorder="1" applyAlignment="1">
      <alignment horizontal="center" vertical="center"/>
    </xf>
    <xf numFmtId="0" fontId="21" fillId="0" borderId="1" xfId="1" applyFont="1" applyBorder="1" applyAlignment="1"/>
    <xf numFmtId="0" fontId="7" fillId="0" borderId="10" xfId="1" applyFont="1" applyBorder="1"/>
    <xf numFmtId="0" fontId="14" fillId="0" borderId="10" xfId="1" applyFont="1" applyBorder="1" applyAlignment="1">
      <alignment horizontal="right" indent="1"/>
    </xf>
    <xf numFmtId="0" fontId="14" fillId="0" borderId="10" xfId="1" applyFont="1" applyBorder="1" applyAlignment="1">
      <alignment horizontal="right"/>
    </xf>
    <xf numFmtId="0" fontId="7" fillId="0" borderId="11" xfId="1" applyFont="1" applyBorder="1"/>
    <xf numFmtId="3" fontId="37" fillId="0" borderId="4" xfId="1" applyNumberFormat="1" applyFont="1" applyBorder="1" applyAlignment="1">
      <alignment horizontal="right"/>
    </xf>
    <xf numFmtId="0" fontId="14" fillId="0" borderId="1" xfId="1" applyFont="1" applyBorder="1" applyAlignment="1">
      <alignment horizontal="right"/>
    </xf>
    <xf numFmtId="0" fontId="21" fillId="0" borderId="12" xfId="1" applyFont="1" applyBorder="1" applyAlignment="1"/>
    <xf numFmtId="2" fontId="39" fillId="0" borderId="13" xfId="1" applyNumberFormat="1" applyFont="1" applyBorder="1" applyAlignment="1">
      <alignment horizontal="right" indent="1"/>
    </xf>
    <xf numFmtId="1" fontId="6" fillId="0" borderId="1" xfId="1" applyNumberFormat="1" applyFont="1" applyBorder="1" applyAlignment="1"/>
    <xf numFmtId="0" fontId="21" fillId="0" borderId="12" xfId="1" applyFont="1" applyBorder="1" applyAlignment="1">
      <alignment vertical="top"/>
    </xf>
    <xf numFmtId="0" fontId="16" fillId="0" borderId="12" xfId="1" applyFont="1" applyBorder="1" applyAlignment="1"/>
    <xf numFmtId="2" fontId="16" fillId="0" borderId="1" xfId="1" applyNumberFormat="1" applyFont="1" applyFill="1" applyBorder="1" applyAlignment="1">
      <alignment horizontal="right"/>
    </xf>
    <xf numFmtId="0" fontId="15" fillId="0" borderId="1" xfId="1" applyFont="1" applyBorder="1"/>
    <xf numFmtId="1" fontId="14" fillId="0" borderId="1" xfId="1" applyNumberFormat="1" applyFont="1" applyBorder="1" applyAlignment="1"/>
    <xf numFmtId="0" fontId="14" fillId="0" borderId="14" xfId="1" applyFont="1" applyBorder="1"/>
    <xf numFmtId="2" fontId="39" fillId="0" borderId="15" xfId="3" applyNumberFormat="1" applyFont="1" applyBorder="1" applyAlignment="1">
      <alignment horizontal="right" vertical="center" indent="1"/>
    </xf>
    <xf numFmtId="1" fontId="6" fillId="0" borderId="3" xfId="1" applyNumberFormat="1" applyFont="1" applyBorder="1"/>
    <xf numFmtId="0" fontId="4" fillId="0" borderId="14" xfId="1" applyFont="1" applyBorder="1"/>
    <xf numFmtId="2" fontId="27" fillId="0" borderId="15" xfId="1" applyNumberFormat="1" applyFont="1" applyFill="1" applyBorder="1" applyAlignment="1">
      <alignment horizontal="right" indent="1"/>
    </xf>
    <xf numFmtId="2" fontId="4" fillId="0" borderId="3" xfId="1" applyNumberFormat="1" applyFont="1" applyBorder="1"/>
    <xf numFmtId="2" fontId="4" fillId="0" borderId="4" xfId="1" applyNumberFormat="1" applyFont="1" applyBorder="1"/>
    <xf numFmtId="2" fontId="40" fillId="0" borderId="1" xfId="1" applyNumberFormat="1" applyFont="1" applyBorder="1" applyAlignment="1">
      <alignment horizontal="right"/>
    </xf>
    <xf numFmtId="0" fontId="41" fillId="0" borderId="1" xfId="1" applyFont="1" applyBorder="1"/>
    <xf numFmtId="2" fontId="41" fillId="0" borderId="1" xfId="1" applyNumberFormat="1" applyFont="1" applyBorder="1"/>
    <xf numFmtId="2" fontId="14" fillId="0" borderId="1" xfId="1" applyNumberFormat="1" applyFont="1" applyBorder="1" applyAlignment="1">
      <alignment horizontal="right"/>
    </xf>
    <xf numFmtId="2" fontId="4" fillId="0" borderId="1" xfId="1" applyNumberFormat="1" applyBorder="1"/>
    <xf numFmtId="2" fontId="42" fillId="0" borderId="1" xfId="1" applyNumberFormat="1" applyFont="1" applyBorder="1" applyAlignment="1">
      <alignment horizontal="right"/>
    </xf>
    <xf numFmtId="0" fontId="4" fillId="0" borderId="16" xfId="1" applyFont="1" applyBorder="1"/>
    <xf numFmtId="2" fontId="8" fillId="0" borderId="3" xfId="1" applyNumberFormat="1" applyFont="1" applyBorder="1"/>
    <xf numFmtId="2" fontId="8" fillId="0" borderId="4" xfId="1" applyNumberFormat="1" applyFont="1" applyBorder="1"/>
    <xf numFmtId="2" fontId="14" fillId="0" borderId="3" xfId="1" applyNumberFormat="1" applyFont="1" applyBorder="1"/>
    <xf numFmtId="0" fontId="8" fillId="0" borderId="14" xfId="1" applyFont="1" applyBorder="1"/>
    <xf numFmtId="2" fontId="18" fillId="0" borderId="1" xfId="1" applyNumberFormat="1" applyFont="1" applyBorder="1" applyAlignment="1">
      <alignment horizontal="right"/>
    </xf>
    <xf numFmtId="0" fontId="18" fillId="0" borderId="1" xfId="1" applyFont="1" applyBorder="1"/>
    <xf numFmtId="2" fontId="11" fillId="0" borderId="1" xfId="1" applyNumberFormat="1" applyFont="1" applyBorder="1" applyAlignment="1">
      <alignment horizontal="right"/>
    </xf>
    <xf numFmtId="0" fontId="43" fillId="0" borderId="1" xfId="1" applyFont="1" applyBorder="1"/>
    <xf numFmtId="2" fontId="11" fillId="0" borderId="1" xfId="1" applyNumberFormat="1" applyFont="1" applyFill="1" applyBorder="1" applyAlignment="1">
      <alignment horizontal="right"/>
    </xf>
    <xf numFmtId="166" fontId="11" fillId="0" borderId="1" xfId="1" applyNumberFormat="1" applyFont="1" applyFill="1" applyBorder="1" applyAlignment="1">
      <alignment horizontal="right"/>
    </xf>
    <xf numFmtId="2" fontId="44" fillId="0" borderId="1" xfId="1" applyNumberFormat="1" applyFont="1" applyFill="1" applyBorder="1" applyAlignment="1">
      <alignment horizontal="right"/>
    </xf>
    <xf numFmtId="2" fontId="15" fillId="0" borderId="1" xfId="1" applyNumberFormat="1" applyFont="1" applyBorder="1"/>
    <xf numFmtId="2" fontId="15" fillId="0" borderId="1" xfId="1" applyNumberFormat="1" applyFont="1" applyFill="1" applyBorder="1" applyAlignment="1">
      <alignment horizontal="right"/>
    </xf>
    <xf numFmtId="2" fontId="33" fillId="0" borderId="1" xfId="1" applyNumberFormat="1" applyFont="1" applyBorder="1" applyAlignment="1">
      <alignment horizontal="right"/>
    </xf>
    <xf numFmtId="0" fontId="11" fillId="0" borderId="1" xfId="1" applyFont="1" applyBorder="1" applyAlignment="1">
      <alignment horizontal="left"/>
    </xf>
    <xf numFmtId="0" fontId="4" fillId="0" borderId="17" xfId="1" applyFont="1" applyBorder="1"/>
    <xf numFmtId="2" fontId="45" fillId="0" borderId="15" xfId="1" applyNumberFormat="1" applyFont="1" applyBorder="1" applyAlignment="1">
      <alignment horizontal="right" indent="1"/>
    </xf>
    <xf numFmtId="9" fontId="18" fillId="0" borderId="1" xfId="1" applyNumberFormat="1" applyFont="1" applyBorder="1"/>
    <xf numFmtId="9" fontId="18" fillId="0" borderId="1" xfId="1" applyNumberFormat="1" applyFont="1" applyBorder="1" applyAlignment="1">
      <alignment horizontal="left"/>
    </xf>
    <xf numFmtId="0" fontId="14" fillId="0" borderId="18" xfId="1" applyFont="1" applyBorder="1"/>
    <xf numFmtId="2" fontId="45" fillId="0" borderId="19" xfId="1" applyNumberFormat="1" applyFont="1" applyBorder="1" applyAlignment="1">
      <alignment horizontal="right" indent="1"/>
    </xf>
    <xf numFmtId="0" fontId="4" fillId="0" borderId="18" xfId="1" applyFont="1" applyBorder="1"/>
    <xf numFmtId="2" fontId="33" fillId="0" borderId="1" xfId="1" applyNumberFormat="1" applyFont="1" applyBorder="1" applyAlignment="1">
      <alignment horizontal="center"/>
    </xf>
    <xf numFmtId="0" fontId="7" fillId="0" borderId="1" xfId="1" applyFont="1" applyBorder="1" applyAlignment="1">
      <alignment horizontal="left"/>
    </xf>
    <xf numFmtId="0" fontId="4" fillId="0" borderId="3" xfId="1" applyBorder="1"/>
    <xf numFmtId="2" fontId="47" fillId="0" borderId="13" xfId="1" applyNumberFormat="1" applyFont="1" applyBorder="1" applyAlignment="1">
      <alignment horizontal="right" indent="1"/>
    </xf>
    <xf numFmtId="2" fontId="14" fillId="0" borderId="1" xfId="1" applyNumberFormat="1" applyFont="1" applyBorder="1"/>
    <xf numFmtId="1" fontId="45" fillId="0" borderId="15" xfId="3" applyNumberFormat="1" applyFont="1" applyBorder="1" applyAlignment="1">
      <alignment horizontal="right" vertical="center" indent="1"/>
    </xf>
    <xf numFmtId="3" fontId="4" fillId="0" borderId="4" xfId="1" applyNumberFormat="1" applyFont="1" applyBorder="1"/>
    <xf numFmtId="2" fontId="41" fillId="0" borderId="1" xfId="1" applyNumberFormat="1" applyFont="1" applyBorder="1" applyAlignment="1">
      <alignment horizontal="right"/>
    </xf>
    <xf numFmtId="0" fontId="9" fillId="0" borderId="14" xfId="1" applyFont="1" applyBorder="1"/>
    <xf numFmtId="2" fontId="47" fillId="0" borderId="15" xfId="1" applyNumberFormat="1" applyFont="1" applyBorder="1" applyAlignment="1">
      <alignment horizontal="right" indent="1"/>
    </xf>
    <xf numFmtId="3" fontId="6" fillId="0" borderId="3" xfId="1" applyNumberFormat="1" applyFont="1" applyBorder="1"/>
    <xf numFmtId="2" fontId="49" fillId="0" borderId="15" xfId="1" applyNumberFormat="1" applyFont="1" applyFill="1" applyBorder="1" applyAlignment="1">
      <alignment horizontal="right" indent="1"/>
    </xf>
    <xf numFmtId="2" fontId="50" fillId="0" borderId="15" xfId="1" applyNumberFormat="1" applyFont="1" applyBorder="1" applyAlignment="1">
      <alignment horizontal="right" indent="1"/>
    </xf>
    <xf numFmtId="2" fontId="51" fillId="0" borderId="3" xfId="1" applyNumberFormat="1" applyFont="1" applyBorder="1"/>
    <xf numFmtId="1" fontId="14" fillId="0" borderId="1" xfId="1" applyNumberFormat="1" applyFont="1" applyBorder="1"/>
    <xf numFmtId="1" fontId="52" fillId="0" borderId="15" xfId="1" applyNumberFormat="1" applyFont="1" applyBorder="1" applyAlignment="1">
      <alignment horizontal="right" indent="1"/>
    </xf>
    <xf numFmtId="2" fontId="16" fillId="0" borderId="1" xfId="1" applyNumberFormat="1" applyFont="1" applyBorder="1"/>
    <xf numFmtId="0" fontId="4" fillId="0" borderId="14" xfId="1" applyBorder="1"/>
    <xf numFmtId="2" fontId="42" fillId="0" borderId="15" xfId="1" applyNumberFormat="1" applyFont="1" applyBorder="1" applyAlignment="1">
      <alignment horizontal="right" indent="1"/>
    </xf>
    <xf numFmtId="0" fontId="27" fillId="0" borderId="15" xfId="1" applyFont="1" applyBorder="1" applyAlignment="1">
      <alignment horizontal="right" indent="1"/>
    </xf>
    <xf numFmtId="0" fontId="8" fillId="0" borderId="18" xfId="1" applyFont="1" applyBorder="1"/>
    <xf numFmtId="9" fontId="27" fillId="0" borderId="19" xfId="1" applyNumberFormat="1" applyFont="1" applyBorder="1" applyAlignment="1">
      <alignment horizontal="right" indent="1"/>
    </xf>
    <xf numFmtId="1" fontId="45" fillId="0" borderId="19" xfId="3" applyNumberFormat="1" applyFont="1" applyBorder="1" applyAlignment="1">
      <alignment horizontal="right" vertical="center" indent="1"/>
    </xf>
    <xf numFmtId="0" fontId="36" fillId="0" borderId="0" xfId="1" applyFont="1"/>
    <xf numFmtId="2" fontId="36" fillId="0" borderId="24" xfId="1" applyNumberFormat="1" applyFont="1" applyBorder="1" applyAlignment="1">
      <alignment horizontal="right" indent="1"/>
    </xf>
    <xf numFmtId="2" fontId="7" fillId="0" borderId="0" xfId="1" applyNumberFormat="1" applyFont="1"/>
    <xf numFmtId="0" fontId="4" fillId="0" borderId="1" xfId="1" applyFont="1" applyBorder="1" applyAlignment="1">
      <alignment wrapText="1"/>
    </xf>
    <xf numFmtId="2" fontId="7" fillId="0" borderId="1" xfId="1" applyNumberFormat="1" applyFont="1" applyBorder="1"/>
    <xf numFmtId="0" fontId="4" fillId="0" borderId="4" xfId="1" applyBorder="1"/>
    <xf numFmtId="0" fontId="9" fillId="0" borderId="1" xfId="1" applyFont="1" applyBorder="1"/>
    <xf numFmtId="2" fontId="27" fillId="0" borderId="15" xfId="1" applyNumberFormat="1" applyFont="1" applyBorder="1" applyAlignment="1">
      <alignment horizontal="right" indent="1"/>
    </xf>
    <xf numFmtId="165" fontId="14" fillId="0" borderId="1" xfId="1" applyNumberFormat="1" applyFont="1" applyFill="1" applyBorder="1" applyAlignment="1">
      <alignment horizontal="right"/>
    </xf>
    <xf numFmtId="2" fontId="53" fillId="0" borderId="1" xfId="1" applyNumberFormat="1" applyFont="1" applyBorder="1" applyAlignment="1">
      <alignment horizontal="right" indent="1"/>
    </xf>
    <xf numFmtId="3" fontId="9" fillId="0" borderId="1" xfId="1" applyNumberFormat="1" applyFont="1" applyBorder="1"/>
    <xf numFmtId="2" fontId="40" fillId="0" borderId="1" xfId="1" applyNumberFormat="1" applyFont="1" applyBorder="1" applyAlignment="1">
      <alignment horizontal="right" indent="1"/>
    </xf>
    <xf numFmtId="2" fontId="8" fillId="0" borderId="1" xfId="1" applyNumberFormat="1" applyFont="1" applyBorder="1"/>
    <xf numFmtId="0" fontId="4" fillId="0" borderId="22" xfId="1" applyFont="1" applyBorder="1"/>
    <xf numFmtId="0" fontId="38" fillId="0" borderId="15" xfId="1" applyFont="1" applyBorder="1" applyAlignment="1">
      <alignment horizontal="right" indent="1"/>
    </xf>
    <xf numFmtId="2" fontId="27" fillId="0" borderId="15" xfId="4" applyNumberFormat="1" applyFont="1" applyBorder="1" applyAlignment="1">
      <alignment horizontal="right" indent="1"/>
    </xf>
    <xf numFmtId="2" fontId="27" fillId="0" borderId="19" xfId="1" applyNumberFormat="1" applyFont="1" applyBorder="1" applyAlignment="1">
      <alignment horizontal="right" indent="1"/>
    </xf>
    <xf numFmtId="0" fontId="8" fillId="0" borderId="25" xfId="1" applyFont="1" applyBorder="1"/>
    <xf numFmtId="0" fontId="27" fillId="0" borderId="19" xfId="4" applyFont="1" applyBorder="1" applyAlignment="1">
      <alignment horizontal="right" indent="1"/>
    </xf>
    <xf numFmtId="0" fontId="27" fillId="0" borderId="19" xfId="1" applyFont="1" applyBorder="1" applyAlignment="1">
      <alignment horizontal="right" indent="1"/>
    </xf>
    <xf numFmtId="9" fontId="49" fillId="0" borderId="1" xfId="1" applyNumberFormat="1" applyFont="1" applyBorder="1" applyAlignment="1">
      <alignment horizontal="right" indent="1"/>
    </xf>
    <xf numFmtId="167" fontId="7" fillId="0" borderId="1" xfId="1" applyNumberFormat="1" applyFont="1" applyBorder="1"/>
    <xf numFmtId="0" fontId="9" fillId="0" borderId="12" xfId="1" applyFont="1" applyBorder="1"/>
    <xf numFmtId="0" fontId="4" fillId="0" borderId="13" xfId="1" applyBorder="1"/>
    <xf numFmtId="0" fontId="4" fillId="0" borderId="24" xfId="1" applyBorder="1"/>
    <xf numFmtId="0" fontId="40" fillId="0" borderId="26" xfId="1" applyFont="1" applyBorder="1" applyAlignment="1">
      <alignment horizontal="right" wrapText="1" indent="1"/>
    </xf>
    <xf numFmtId="0" fontId="49" fillId="0" borderId="1" xfId="1" applyFont="1" applyBorder="1" applyAlignment="1">
      <alignment horizontal="right" indent="1"/>
    </xf>
    <xf numFmtId="165" fontId="14" fillId="0" borderId="1" xfId="1" applyNumberFormat="1" applyFont="1" applyBorder="1"/>
    <xf numFmtId="0" fontId="40" fillId="0" borderId="19" xfId="1" applyFont="1" applyBorder="1" applyAlignment="1">
      <alignment horizontal="right" wrapText="1" indent="1"/>
    </xf>
    <xf numFmtId="0" fontId="38" fillId="0" borderId="5" xfId="1" applyFont="1" applyBorder="1" applyAlignment="1">
      <alignment horizontal="right" indent="1"/>
    </xf>
    <xf numFmtId="0" fontId="4" fillId="0" borderId="5" xfId="1" applyBorder="1"/>
    <xf numFmtId="0" fontId="4" fillId="0" borderId="5" xfId="1" applyFont="1" applyBorder="1"/>
    <xf numFmtId="0" fontId="49" fillId="0" borderId="19" xfId="1" applyFont="1" applyBorder="1" applyAlignment="1">
      <alignment horizontal="right" indent="1"/>
    </xf>
    <xf numFmtId="0" fontId="14" fillId="0" borderId="10" xfId="1" applyFont="1" applyBorder="1"/>
    <xf numFmtId="0" fontId="4" fillId="0" borderId="10" xfId="1" applyBorder="1"/>
    <xf numFmtId="0" fontId="14" fillId="0" borderId="1" xfId="1" applyFont="1" applyBorder="1" applyAlignment="1">
      <alignment vertical="top"/>
    </xf>
    <xf numFmtId="0" fontId="38" fillId="0" borderId="1" xfId="1" applyFont="1" applyBorder="1" applyAlignment="1">
      <alignment vertical="top"/>
    </xf>
    <xf numFmtId="0" fontId="38" fillId="0" borderId="4" xfId="1" applyFont="1" applyBorder="1" applyAlignment="1">
      <alignment vertical="top"/>
    </xf>
    <xf numFmtId="0" fontId="55" fillId="0" borderId="15" xfId="1" applyFont="1" applyBorder="1" applyAlignment="1">
      <alignment horizontal="center"/>
    </xf>
    <xf numFmtId="0" fontId="14" fillId="0" borderId="4" xfId="1" applyFont="1" applyBorder="1"/>
    <xf numFmtId="0" fontId="4" fillId="0" borderId="18" xfId="1" applyBorder="1"/>
    <xf numFmtId="0" fontId="56" fillId="0" borderId="5" xfId="1" applyFont="1" applyBorder="1" applyAlignment="1"/>
    <xf numFmtId="0" fontId="4" fillId="0" borderId="5" xfId="1" applyBorder="1" applyAlignment="1">
      <alignment horizontal="right"/>
    </xf>
    <xf numFmtId="167" fontId="27" fillId="0" borderId="19" xfId="1" applyNumberFormat="1" applyFont="1" applyBorder="1" applyAlignment="1">
      <alignment horizontal="center"/>
    </xf>
    <xf numFmtId="0" fontId="9" fillId="0" borderId="1" xfId="1" applyFont="1" applyBorder="1" applyAlignment="1">
      <alignment vertical="center"/>
    </xf>
    <xf numFmtId="0" fontId="4" fillId="0" borderId="1" xfId="1" applyFont="1" applyBorder="1" applyAlignment="1">
      <alignment vertical="center"/>
    </xf>
    <xf numFmtId="0" fontId="15" fillId="0" borderId="1" xfId="4" applyFont="1" applyBorder="1" applyAlignment="1">
      <alignment horizontal="left"/>
    </xf>
    <xf numFmtId="0" fontId="54" fillId="0" borderId="1" xfId="4" applyBorder="1"/>
    <xf numFmtId="0" fontId="14" fillId="0" borderId="1" xfId="4" applyFont="1" applyBorder="1"/>
    <xf numFmtId="164" fontId="8" fillId="0" borderId="1" xfId="4" applyNumberFormat="1" applyFont="1" applyBorder="1" applyAlignment="1">
      <alignment horizontal="left"/>
    </xf>
    <xf numFmtId="0" fontId="9" fillId="0" borderId="1" xfId="4" applyFont="1" applyBorder="1" applyAlignment="1">
      <alignment horizontal="right"/>
    </xf>
    <xf numFmtId="0" fontId="58" fillId="0" borderId="1" xfId="5" applyFont="1" applyBorder="1" applyAlignment="1" applyProtection="1"/>
    <xf numFmtId="0" fontId="8" fillId="0" borderId="1" xfId="1" applyFont="1" applyBorder="1" applyAlignment="1">
      <alignment vertical="center"/>
    </xf>
    <xf numFmtId="0" fontId="4" fillId="0" borderId="30" xfId="1" applyBorder="1"/>
    <xf numFmtId="0" fontId="12" fillId="0" borderId="1" xfId="1" applyFont="1" applyBorder="1" applyAlignment="1">
      <alignment horizontal="left"/>
    </xf>
    <xf numFmtId="0" fontId="59" fillId="0" borderId="1" xfId="1" applyFont="1" applyBorder="1" applyAlignment="1">
      <alignment horizontal="right"/>
    </xf>
    <xf numFmtId="0" fontId="10" fillId="0" borderId="1" xfId="1" applyFont="1" applyBorder="1" applyAlignment="1">
      <alignment horizontal="right"/>
    </xf>
    <xf numFmtId="165" fontId="14" fillId="0" borderId="1" xfId="1" applyNumberFormat="1" applyFont="1" applyBorder="1" applyAlignment="1">
      <alignment horizontal="left"/>
    </xf>
    <xf numFmtId="165" fontId="18" fillId="0" borderId="1" xfId="1" applyNumberFormat="1" applyFont="1" applyBorder="1" applyAlignment="1">
      <alignment horizontal="left"/>
    </xf>
    <xf numFmtId="165" fontId="60" fillId="0" borderId="1" xfId="1" applyNumberFormat="1" applyFont="1" applyBorder="1" applyAlignment="1">
      <alignment horizontal="left"/>
    </xf>
    <xf numFmtId="0" fontId="7" fillId="0" borderId="31" xfId="1" applyFont="1" applyBorder="1"/>
    <xf numFmtId="0" fontId="4" fillId="0" borderId="31" xfId="1" applyBorder="1"/>
    <xf numFmtId="0" fontId="24" fillId="0" borderId="31" xfId="1" applyFont="1" applyBorder="1" applyAlignment="1"/>
    <xf numFmtId="0" fontId="28" fillId="0" borderId="31" xfId="1" applyFont="1" applyBorder="1" applyAlignment="1">
      <alignment horizontal="left"/>
    </xf>
    <xf numFmtId="0" fontId="4" fillId="0" borderId="31" xfId="1" applyFont="1" applyBorder="1" applyAlignment="1"/>
    <xf numFmtId="0" fontId="21" fillId="0" borderId="11" xfId="1" applyFont="1" applyBorder="1"/>
    <xf numFmtId="0" fontId="4" fillId="0" borderId="9" xfId="1" applyFont="1" applyBorder="1"/>
    <xf numFmtId="0" fontId="31" fillId="0" borderId="0" xfId="1" applyFont="1" applyBorder="1" applyAlignment="1">
      <alignment horizontal="left" vertical="center"/>
    </xf>
    <xf numFmtId="0" fontId="32" fillId="0" borderId="31" xfId="1" applyFont="1" applyBorder="1" applyAlignment="1">
      <alignment horizontal="center" vertical="center"/>
    </xf>
    <xf numFmtId="0" fontId="14" fillId="0" borderId="31" xfId="1" applyFont="1" applyBorder="1"/>
    <xf numFmtId="49" fontId="14" fillId="0" borderId="9" xfId="3" applyNumberFormat="1" applyFont="1" applyBorder="1" applyAlignment="1">
      <alignment horizontal="right"/>
    </xf>
    <xf numFmtId="0" fontId="31" fillId="0" borderId="0" xfId="1" applyFont="1" applyBorder="1" applyAlignment="1">
      <alignment horizontal="left"/>
    </xf>
    <xf numFmtId="0" fontId="14" fillId="0" borderId="31" xfId="1" applyFont="1" applyBorder="1" applyAlignment="1"/>
    <xf numFmtId="0" fontId="35" fillId="0" borderId="0" xfId="1" applyFont="1" applyBorder="1" applyAlignment="1">
      <alignment horizontal="center" vertical="center"/>
    </xf>
    <xf numFmtId="0" fontId="14" fillId="0" borderId="31" xfId="1" applyFont="1" applyBorder="1" applyAlignment="1">
      <alignment vertical="center"/>
    </xf>
    <xf numFmtId="0" fontId="7" fillId="0" borderId="31" xfId="1" applyFont="1" applyBorder="1" applyAlignment="1">
      <alignment horizontal="center" vertical="center"/>
    </xf>
    <xf numFmtId="3" fontId="37" fillId="0" borderId="1" xfId="1" applyNumberFormat="1" applyFont="1" applyBorder="1" applyAlignment="1">
      <alignment horizontal="right"/>
    </xf>
    <xf numFmtId="3" fontId="37" fillId="0" borderId="30" xfId="1" applyNumberFormat="1" applyFont="1" applyBorder="1" applyAlignment="1">
      <alignment horizontal="right"/>
    </xf>
    <xf numFmtId="3" fontId="6" fillId="0" borderId="3" xfId="1" applyNumberFormat="1" applyFont="1" applyBorder="1" applyAlignment="1"/>
    <xf numFmtId="0" fontId="9" fillId="0" borderId="12" xfId="1" applyFont="1" applyBorder="1" applyAlignment="1"/>
    <xf numFmtId="2" fontId="64" fillId="0" borderId="13" xfId="1" applyNumberFormat="1" applyFont="1" applyBorder="1" applyAlignment="1">
      <alignment horizontal="right" indent="1"/>
    </xf>
    <xf numFmtId="3" fontId="65" fillId="0" borderId="3" xfId="1" applyNumberFormat="1" applyFont="1" applyBorder="1" applyAlignment="1"/>
    <xf numFmtId="2" fontId="45" fillId="0" borderId="15" xfId="3" applyNumberFormat="1" applyFont="1" applyBorder="1" applyAlignment="1">
      <alignment horizontal="right" vertical="center" indent="1"/>
    </xf>
    <xf numFmtId="1" fontId="16" fillId="0" borderId="3" xfId="1" applyNumberFormat="1" applyFont="1" applyBorder="1"/>
    <xf numFmtId="2" fontId="67" fillId="0" borderId="15" xfId="1" applyNumberFormat="1" applyFont="1" applyBorder="1" applyAlignment="1">
      <alignment horizontal="right" indent="1"/>
    </xf>
    <xf numFmtId="2" fontId="11" fillId="0" borderId="3" xfId="1" applyNumberFormat="1" applyFont="1" applyBorder="1"/>
    <xf numFmtId="2" fontId="4" fillId="0" borderId="0" xfId="1" applyNumberFormat="1"/>
    <xf numFmtId="2" fontId="18" fillId="0" borderId="3" xfId="1" applyNumberFormat="1" applyFont="1" applyBorder="1"/>
    <xf numFmtId="2" fontId="11" fillId="0" borderId="14" xfId="1" applyNumberFormat="1" applyFont="1" applyBorder="1"/>
    <xf numFmtId="0" fontId="4" fillId="0" borderId="9" xfId="1" applyBorder="1"/>
    <xf numFmtId="2" fontId="67" fillId="0" borderId="19" xfId="1" applyNumberFormat="1" applyFont="1" applyBorder="1" applyAlignment="1">
      <alignment horizontal="right" indent="1"/>
    </xf>
    <xf numFmtId="0" fontId="11" fillId="0" borderId="4" xfId="1" applyFont="1" applyBorder="1" applyAlignment="1">
      <alignment horizontal="left"/>
    </xf>
    <xf numFmtId="0" fontId="7" fillId="0" borderId="9" xfId="1" applyFont="1" applyBorder="1" applyAlignment="1">
      <alignment horizontal="left"/>
    </xf>
    <xf numFmtId="3" fontId="37" fillId="0" borderId="3" xfId="1" applyNumberFormat="1" applyFont="1" applyBorder="1" applyAlignment="1">
      <alignment horizontal="right"/>
    </xf>
    <xf numFmtId="3" fontId="14" fillId="0" borderId="3" xfId="1" applyNumberFormat="1" applyFont="1" applyBorder="1"/>
    <xf numFmtId="0" fontId="40" fillId="0" borderId="15" xfId="1" applyFont="1" applyBorder="1" applyAlignment="1">
      <alignment horizontal="right" indent="1"/>
    </xf>
    <xf numFmtId="0" fontId="68" fillId="0" borderId="3" xfId="1" applyFont="1" applyBorder="1"/>
    <xf numFmtId="1" fontId="40" fillId="0" borderId="15" xfId="1" applyNumberFormat="1" applyFont="1" applyBorder="1" applyAlignment="1">
      <alignment horizontal="right" indent="1"/>
    </xf>
    <xf numFmtId="3" fontId="68" fillId="0" borderId="3" xfId="1" applyNumberFormat="1" applyFont="1" applyBorder="1"/>
    <xf numFmtId="2" fontId="50" fillId="0" borderId="15" xfId="3" applyNumberFormat="1" applyFont="1" applyBorder="1" applyAlignment="1">
      <alignment horizontal="right" vertical="center" indent="1"/>
    </xf>
    <xf numFmtId="3" fontId="14" fillId="0" borderId="14" xfId="1" applyNumberFormat="1" applyFont="1" applyBorder="1"/>
    <xf numFmtId="1" fontId="14" fillId="0" borderId="3" xfId="1" applyNumberFormat="1" applyFont="1" applyBorder="1"/>
    <xf numFmtId="2" fontId="16" fillId="0" borderId="3" xfId="1" applyNumberFormat="1" applyFont="1" applyBorder="1"/>
    <xf numFmtId="3" fontId="8" fillId="0" borderId="3" xfId="1" applyNumberFormat="1" applyFont="1" applyBorder="1"/>
    <xf numFmtId="0" fontId="4" fillId="0" borderId="31" xfId="1" applyFont="1" applyBorder="1" applyAlignment="1">
      <alignment wrapText="1"/>
    </xf>
    <xf numFmtId="2" fontId="7" fillId="0" borderId="10" xfId="1" applyNumberFormat="1" applyFont="1" applyBorder="1"/>
    <xf numFmtId="165" fontId="14" fillId="0" borderId="31" xfId="1" applyNumberFormat="1" applyFont="1" applyFill="1" applyBorder="1" applyAlignment="1">
      <alignment horizontal="right"/>
    </xf>
    <xf numFmtId="165" fontId="27" fillId="0" borderId="15" xfId="4" applyNumberFormat="1" applyFont="1" applyBorder="1" applyAlignment="1">
      <alignment horizontal="right" indent="1"/>
    </xf>
    <xf numFmtId="2" fontId="14" fillId="0" borderId="3" xfId="4" applyNumberFormat="1" applyFont="1" applyBorder="1"/>
    <xf numFmtId="167" fontId="7" fillId="0" borderId="9" xfId="1" applyNumberFormat="1" applyFont="1" applyBorder="1"/>
    <xf numFmtId="0" fontId="38" fillId="0" borderId="15" xfId="4" applyFont="1" applyBorder="1" applyAlignment="1">
      <alignment horizontal="right" indent="1"/>
    </xf>
    <xf numFmtId="165" fontId="14" fillId="0" borderId="10" xfId="1" applyNumberFormat="1" applyFont="1" applyFill="1" applyBorder="1" applyAlignment="1">
      <alignment horizontal="right"/>
    </xf>
    <xf numFmtId="165" fontId="14" fillId="0" borderId="10" xfId="1" applyNumberFormat="1" applyFont="1" applyBorder="1"/>
    <xf numFmtId="0" fontId="22" fillId="0" borderId="31" xfId="1" applyFont="1" applyBorder="1" applyAlignment="1"/>
    <xf numFmtId="9" fontId="8" fillId="0" borderId="1" xfId="1" applyNumberFormat="1" applyFont="1" applyBorder="1" applyAlignment="1">
      <alignment horizontal="right" indent="1"/>
    </xf>
    <xf numFmtId="9" fontId="14" fillId="0" borderId="1" xfId="1" applyNumberFormat="1" applyFont="1" applyBorder="1" applyAlignment="1">
      <alignment horizontal="right"/>
    </xf>
    <xf numFmtId="168" fontId="14" fillId="0" borderId="10" xfId="1" applyNumberFormat="1" applyFont="1" applyBorder="1"/>
    <xf numFmtId="2" fontId="14" fillId="0" borderId="10" xfId="1" applyNumberFormat="1" applyFont="1" applyBorder="1"/>
    <xf numFmtId="0" fontId="70" fillId="0" borderId="1" xfId="6" applyFont="1" applyBorder="1"/>
    <xf numFmtId="0" fontId="70" fillId="0" borderId="0" xfId="6" applyFont="1"/>
    <xf numFmtId="0" fontId="47" fillId="0" borderId="31" xfId="1" applyFont="1" applyBorder="1" applyAlignment="1"/>
    <xf numFmtId="2" fontId="71" fillId="0" borderId="1" xfId="1" applyNumberFormat="1" applyFont="1" applyBorder="1" applyAlignment="1"/>
    <xf numFmtId="166" fontId="12" fillId="0" borderId="1" xfId="1" applyNumberFormat="1" applyFont="1" applyBorder="1" applyAlignment="1"/>
    <xf numFmtId="0" fontId="19" fillId="0" borderId="4" xfId="1" applyFont="1" applyBorder="1" applyAlignment="1"/>
    <xf numFmtId="0" fontId="72" fillId="0" borderId="1" xfId="7" applyFont="1" applyBorder="1"/>
    <xf numFmtId="0" fontId="73" fillId="0" borderId="1" xfId="6" applyFont="1" applyBorder="1"/>
    <xf numFmtId="0" fontId="73" fillId="0" borderId="0" xfId="6" applyFont="1"/>
    <xf numFmtId="0" fontId="1" fillId="0" borderId="1" xfId="8" applyFont="1" applyBorder="1"/>
    <xf numFmtId="0" fontId="0" fillId="0" borderId="1" xfId="8" applyFont="1" applyBorder="1"/>
    <xf numFmtId="0" fontId="79" fillId="0" borderId="1" xfId="7" applyFont="1" applyBorder="1"/>
    <xf numFmtId="49" fontId="14" fillId="0" borderId="1" xfId="3" applyNumberFormat="1" applyFont="1" applyBorder="1" applyAlignment="1">
      <alignment horizontal="left" vertical="center"/>
    </xf>
    <xf numFmtId="49" fontId="33" fillId="0" borderId="10" xfId="3" applyNumberFormat="1" applyFont="1" applyBorder="1" applyAlignment="1">
      <alignment horizontal="right" vertical="center"/>
    </xf>
    <xf numFmtId="0" fontId="35" fillId="0" borderId="10" xfId="1" applyFont="1" applyBorder="1" applyAlignment="1">
      <alignment horizontal="center" vertical="center"/>
    </xf>
    <xf numFmtId="0" fontId="19" fillId="0" borderId="10" xfId="1" applyFont="1" applyBorder="1" applyAlignment="1"/>
    <xf numFmtId="0" fontId="19" fillId="0" borderId="30" xfId="1" applyFont="1" applyBorder="1" applyAlignment="1"/>
    <xf numFmtId="0" fontId="7" fillId="0" borderId="10" xfId="1" applyFont="1" applyBorder="1" applyAlignment="1"/>
    <xf numFmtId="0" fontId="7" fillId="0" borderId="10" xfId="1" applyFont="1" applyBorder="1" applyAlignment="1">
      <alignment horizontal="left"/>
    </xf>
    <xf numFmtId="0" fontId="73" fillId="0" borderId="10" xfId="6" applyFont="1" applyBorder="1"/>
    <xf numFmtId="0" fontId="79" fillId="0" borderId="11" xfId="7" applyFont="1" applyBorder="1"/>
    <xf numFmtId="0" fontId="19" fillId="0" borderId="11" xfId="1" applyFont="1" applyBorder="1" applyAlignment="1"/>
    <xf numFmtId="0" fontId="19" fillId="0" borderId="32" xfId="1" applyFont="1" applyBorder="1" applyAlignment="1"/>
    <xf numFmtId="166" fontId="4" fillId="0" borderId="11" xfId="1" applyNumberFormat="1" applyFont="1" applyBorder="1" applyAlignment="1"/>
    <xf numFmtId="0" fontId="7" fillId="0" borderId="11" xfId="1" applyFont="1" applyBorder="1" applyAlignment="1"/>
    <xf numFmtId="0" fontId="19" fillId="0" borderId="9" xfId="1" applyFont="1" applyBorder="1" applyAlignment="1"/>
    <xf numFmtId="0" fontId="72" fillId="0" borderId="9" xfId="7" applyFont="1" applyBorder="1"/>
    <xf numFmtId="0" fontId="73" fillId="0" borderId="9" xfId="6" applyFont="1" applyBorder="1"/>
    <xf numFmtId="165" fontId="15" fillId="0" borderId="1" xfId="1" applyNumberFormat="1" applyFont="1" applyBorder="1" applyAlignment="1">
      <alignment horizontal="right" indent="1"/>
    </xf>
    <xf numFmtId="165" fontId="15" fillId="0" borderId="1" xfId="1" applyNumberFormat="1" applyFont="1" applyBorder="1" applyAlignment="1">
      <alignment horizontal="right"/>
    </xf>
    <xf numFmtId="0" fontId="15" fillId="0" borderId="1" xfId="1" applyFont="1" applyBorder="1" applyAlignment="1"/>
    <xf numFmtId="165" fontId="9" fillId="0" borderId="1" xfId="1" applyNumberFormat="1" applyFont="1" applyBorder="1" applyAlignment="1"/>
    <xf numFmtId="10" fontId="14" fillId="0" borderId="1" xfId="1" applyNumberFormat="1" applyFont="1" applyBorder="1" applyAlignment="1"/>
    <xf numFmtId="165" fontId="9" fillId="0" borderId="1" xfId="1" applyNumberFormat="1" applyFont="1" applyBorder="1" applyAlignment="1">
      <alignment horizontal="right" indent="1"/>
    </xf>
    <xf numFmtId="0" fontId="70" fillId="0" borderId="9" xfId="6" applyFont="1" applyBorder="1"/>
    <xf numFmtId="165" fontId="9" fillId="0" borderId="9" xfId="1" applyNumberFormat="1" applyFont="1" applyBorder="1" applyAlignment="1"/>
    <xf numFmtId="10" fontId="14" fillId="0" borderId="9" xfId="1" applyNumberFormat="1" applyFont="1" applyBorder="1" applyAlignment="1"/>
    <xf numFmtId="0" fontId="4" fillId="0" borderId="9" xfId="1" applyFont="1" applyBorder="1" applyAlignment="1"/>
    <xf numFmtId="0" fontId="4" fillId="0" borderId="0" xfId="1" applyFont="1" applyBorder="1"/>
    <xf numFmtId="0" fontId="14" fillId="0" borderId="9" xfId="1" applyFont="1" applyBorder="1" applyAlignment="1"/>
    <xf numFmtId="0" fontId="70" fillId="0" borderId="0" xfId="6" applyFont="1" applyBorder="1"/>
    <xf numFmtId="0" fontId="1" fillId="0" borderId="9" xfId="8" applyFont="1" applyBorder="1"/>
    <xf numFmtId="0" fontId="9" fillId="0" borderId="9" xfId="1" applyFont="1" applyBorder="1" applyAlignment="1"/>
    <xf numFmtId="0" fontId="83" fillId="0" borderId="30" xfId="1" applyFont="1" applyBorder="1"/>
    <xf numFmtId="0" fontId="9" fillId="0" borderId="4" xfId="1" applyFont="1" applyBorder="1" applyAlignment="1">
      <alignment horizontal="right" indent="1"/>
    </xf>
    <xf numFmtId="0" fontId="9" fillId="0" borderId="4" xfId="1" applyFont="1" applyBorder="1" applyAlignment="1">
      <alignment horizontal="right"/>
    </xf>
    <xf numFmtId="0" fontId="4" fillId="0" borderId="4" xfId="1" applyFont="1" applyBorder="1" applyAlignment="1"/>
    <xf numFmtId="0" fontId="9" fillId="0" borderId="30" xfId="1" applyFont="1" applyBorder="1" applyAlignment="1">
      <alignment horizontal="right"/>
    </xf>
    <xf numFmtId="0" fontId="39" fillId="0" borderId="12" xfId="1" applyFont="1" applyBorder="1"/>
    <xf numFmtId="165" fontId="59" fillId="0" borderId="13" xfId="1" applyNumberFormat="1" applyFont="1" applyBorder="1" applyAlignment="1">
      <alignment horizontal="right" indent="1"/>
    </xf>
    <xf numFmtId="2" fontId="39" fillId="0" borderId="1" xfId="1" applyNumberFormat="1" applyFont="1" applyBorder="1"/>
    <xf numFmtId="0" fontId="1" fillId="0" borderId="3" xfId="7" applyFont="1" applyBorder="1"/>
    <xf numFmtId="2" fontId="62" fillId="0" borderId="33" xfId="1" applyNumberFormat="1" applyFont="1" applyBorder="1" applyAlignment="1">
      <alignment horizontal="right" indent="1"/>
    </xf>
    <xf numFmtId="2" fontId="62" fillId="0" borderId="4" xfId="1" applyNumberFormat="1" applyFont="1" applyBorder="1"/>
    <xf numFmtId="168" fontId="8" fillId="0" borderId="1" xfId="1" applyNumberFormat="1" applyFont="1" applyBorder="1"/>
    <xf numFmtId="0" fontId="1" fillId="0" borderId="1" xfId="7" applyFont="1" applyBorder="1"/>
    <xf numFmtId="0" fontId="85" fillId="0" borderId="1" xfId="7" applyFont="1" applyBorder="1"/>
    <xf numFmtId="0" fontId="87" fillId="0" borderId="1" xfId="9" applyFont="1" applyBorder="1"/>
    <xf numFmtId="0" fontId="88" fillId="0" borderId="14" xfId="1" applyFont="1" applyBorder="1"/>
    <xf numFmtId="165" fontId="76" fillId="0" borderId="15" xfId="1" applyNumberFormat="1" applyFont="1" applyBorder="1" applyAlignment="1">
      <alignment horizontal="right" indent="1"/>
    </xf>
    <xf numFmtId="2" fontId="88" fillId="0" borderId="1" xfId="1" applyNumberFormat="1" applyFont="1" applyBorder="1"/>
    <xf numFmtId="0" fontId="4" fillId="0" borderId="3" xfId="1" applyFont="1" applyBorder="1" applyAlignment="1"/>
    <xf numFmtId="2" fontId="90" fillId="0" borderId="34" xfId="1" applyNumberFormat="1" applyFont="1" applyBorder="1" applyAlignment="1">
      <alignment horizontal="right" indent="1"/>
    </xf>
    <xf numFmtId="2" fontId="90" fillId="0" borderId="4" xfId="1" applyNumberFormat="1" applyFont="1" applyBorder="1"/>
    <xf numFmtId="168" fontId="4" fillId="0" borderId="1" xfId="1" applyNumberFormat="1" applyFont="1" applyBorder="1" applyAlignment="1"/>
    <xf numFmtId="0" fontId="91" fillId="0" borderId="18" xfId="1" applyFont="1" applyBorder="1"/>
    <xf numFmtId="165" fontId="77" fillId="0" borderId="19" xfId="1" applyNumberFormat="1" applyFont="1" applyBorder="1" applyAlignment="1">
      <alignment horizontal="right" indent="1"/>
    </xf>
    <xf numFmtId="2" fontId="91" fillId="0" borderId="1" xfId="1" applyNumberFormat="1" applyFont="1" applyBorder="1"/>
    <xf numFmtId="0" fontId="92" fillId="0" borderId="31" xfId="9" applyFont="1" applyBorder="1"/>
    <xf numFmtId="2" fontId="93" fillId="0" borderId="35" xfId="1" applyNumberFormat="1" applyFont="1" applyBorder="1" applyAlignment="1">
      <alignment horizontal="right" indent="1"/>
    </xf>
    <xf numFmtId="2" fontId="93" fillId="0" borderId="4" xfId="1" applyNumberFormat="1" applyFont="1" applyBorder="1"/>
    <xf numFmtId="2" fontId="4" fillId="0" borderId="1" xfId="1" applyNumberFormat="1" applyFont="1" applyBorder="1" applyAlignment="1"/>
    <xf numFmtId="0" fontId="94" fillId="0" borderId="10" xfId="1" applyFont="1" applyBorder="1" applyAlignment="1"/>
    <xf numFmtId="0" fontId="94" fillId="0" borderId="1" xfId="1" applyFont="1" applyBorder="1" applyAlignment="1"/>
    <xf numFmtId="0" fontId="15" fillId="0" borderId="11" xfId="1" applyFont="1" applyBorder="1" applyAlignment="1"/>
    <xf numFmtId="0" fontId="15" fillId="0" borderId="10" xfId="1" applyFont="1" applyBorder="1" applyAlignment="1"/>
    <xf numFmtId="168" fontId="36" fillId="0" borderId="1" xfId="1" applyNumberFormat="1" applyFont="1" applyBorder="1" applyAlignment="1"/>
    <xf numFmtId="2" fontId="36" fillId="0" borderId="1" xfId="1" applyNumberFormat="1" applyFont="1" applyBorder="1" applyAlignment="1"/>
    <xf numFmtId="0" fontId="36" fillId="0" borderId="1" xfId="1" applyFont="1" applyBorder="1" applyAlignment="1"/>
    <xf numFmtId="0" fontId="4" fillId="0" borderId="12" xfId="1" applyFont="1" applyBorder="1"/>
    <xf numFmtId="165" fontId="45" fillId="0" borderId="13" xfId="3" applyNumberFormat="1" applyFont="1" applyBorder="1" applyAlignment="1">
      <alignment horizontal="right" indent="1"/>
    </xf>
    <xf numFmtId="2" fontId="41" fillId="0" borderId="33" xfId="3" applyNumberFormat="1" applyFont="1" applyBorder="1" applyAlignment="1">
      <alignment horizontal="right" indent="1"/>
    </xf>
    <xf numFmtId="2" fontId="14" fillId="0" borderId="4" xfId="1" applyNumberFormat="1" applyFont="1" applyBorder="1"/>
    <xf numFmtId="168" fontId="14" fillId="0" borderId="1" xfId="1" applyNumberFormat="1" applyFont="1" applyBorder="1"/>
    <xf numFmtId="165" fontId="45" fillId="0" borderId="15" xfId="1" applyNumberFormat="1" applyFont="1" applyBorder="1" applyAlignment="1">
      <alignment horizontal="right" indent="1"/>
    </xf>
    <xf numFmtId="2" fontId="33" fillId="0" borderId="31" xfId="3" applyNumberFormat="1" applyFont="1" applyBorder="1" applyAlignment="1">
      <alignment horizontal="left" indent="1"/>
    </xf>
    <xf numFmtId="2" fontId="41" fillId="0" borderId="34" xfId="1" applyNumberFormat="1" applyFont="1" applyBorder="1" applyAlignment="1">
      <alignment horizontal="right" indent="1"/>
    </xf>
    <xf numFmtId="0" fontId="9" fillId="0" borderId="1" xfId="1" applyFont="1" applyBorder="1" applyAlignment="1"/>
    <xf numFmtId="165" fontId="45" fillId="0" borderId="19" xfId="1" applyNumberFormat="1" applyFont="1" applyBorder="1" applyAlignment="1">
      <alignment horizontal="right" indent="1"/>
    </xf>
    <xf numFmtId="2" fontId="33" fillId="0" borderId="3" xfId="1" applyNumberFormat="1" applyFont="1" applyBorder="1" applyAlignment="1">
      <alignment horizontal="center"/>
    </xf>
    <xf numFmtId="2" fontId="33" fillId="0" borderId="35" xfId="1" applyNumberFormat="1" applyFont="1" applyBorder="1" applyAlignment="1">
      <alignment horizontal="right" indent="1"/>
    </xf>
    <xf numFmtId="168" fontId="4" fillId="0" borderId="1" xfId="1" applyNumberFormat="1" applyFont="1" applyBorder="1"/>
    <xf numFmtId="0" fontId="95" fillId="0" borderId="1" xfId="1" applyFont="1" applyBorder="1" applyAlignment="1">
      <alignment vertical="center" wrapText="1"/>
    </xf>
    <xf numFmtId="2" fontId="14" fillId="0" borderId="1" xfId="10" applyNumberFormat="1" applyFont="1" applyBorder="1" applyAlignment="1">
      <alignment horizontal="left" indent="1"/>
    </xf>
    <xf numFmtId="0" fontId="4" fillId="0" borderId="36" xfId="1" applyBorder="1"/>
    <xf numFmtId="0" fontId="14" fillId="0" borderId="9" xfId="1" applyFont="1" applyBorder="1"/>
    <xf numFmtId="168" fontId="14" fillId="0" borderId="9" xfId="1" applyNumberFormat="1" applyFont="1" applyBorder="1"/>
    <xf numFmtId="2" fontId="14" fillId="0" borderId="9" xfId="1" applyNumberFormat="1" applyFont="1" applyBorder="1"/>
    <xf numFmtId="0" fontId="4" fillId="0" borderId="37" xfId="1" applyFont="1" applyBorder="1"/>
    <xf numFmtId="2" fontId="71" fillId="0" borderId="38" xfId="1" applyNumberFormat="1" applyFont="1" applyBorder="1" applyAlignment="1">
      <alignment horizontal="right" indent="1"/>
    </xf>
    <xf numFmtId="166" fontId="12" fillId="0" borderId="4" xfId="1" applyNumberFormat="1" applyFont="1" applyBorder="1" applyAlignment="1">
      <alignment horizontal="right"/>
    </xf>
    <xf numFmtId="169" fontId="96" fillId="0" borderId="31" xfId="1" applyNumberFormat="1" applyFont="1" applyBorder="1" applyAlignment="1">
      <alignment horizontal="left"/>
    </xf>
    <xf numFmtId="2" fontId="45" fillId="0" borderId="39" xfId="1" applyNumberFormat="1" applyFont="1" applyBorder="1" applyAlignment="1">
      <alignment horizontal="right" indent="1"/>
    </xf>
    <xf numFmtId="166" fontId="97" fillId="0" borderId="4" xfId="1" applyNumberFormat="1" applyFont="1" applyBorder="1" applyAlignment="1">
      <alignment horizontal="right"/>
    </xf>
    <xf numFmtId="0" fontId="8" fillId="0" borderId="10" xfId="1" applyFont="1" applyBorder="1"/>
    <xf numFmtId="10" fontId="8" fillId="0" borderId="10" xfId="1" applyNumberFormat="1" applyFont="1" applyBorder="1"/>
    <xf numFmtId="168" fontId="8" fillId="0" borderId="10" xfId="1" applyNumberFormat="1" applyFont="1" applyBorder="1"/>
    <xf numFmtId="0" fontId="14" fillId="0" borderId="1" xfId="1" applyFont="1" applyBorder="1" applyAlignment="1">
      <alignment vertical="center" wrapText="1"/>
    </xf>
    <xf numFmtId="0" fontId="14" fillId="0" borderId="37" xfId="1" applyFont="1" applyBorder="1"/>
    <xf numFmtId="2" fontId="45" fillId="0" borderId="38" xfId="1" applyNumberFormat="1" applyFont="1" applyBorder="1" applyAlignment="1">
      <alignment horizontal="right" indent="1"/>
    </xf>
    <xf numFmtId="1" fontId="8" fillId="0" borderId="4" xfId="1" applyNumberFormat="1" applyFont="1" applyBorder="1" applyAlignment="1">
      <alignment horizontal="right"/>
    </xf>
    <xf numFmtId="2" fontId="41" fillId="0" borderId="39" xfId="1" applyNumberFormat="1" applyFont="1" applyBorder="1" applyAlignment="1">
      <alignment horizontal="right" indent="1"/>
    </xf>
    <xf numFmtId="1" fontId="14" fillId="0" borderId="4" xfId="1" applyNumberFormat="1" applyFont="1" applyBorder="1" applyAlignment="1">
      <alignment horizontal="right"/>
    </xf>
    <xf numFmtId="0" fontId="14" fillId="0" borderId="12" xfId="1" applyFont="1" applyBorder="1"/>
    <xf numFmtId="2" fontId="8" fillId="0" borderId="13" xfId="1" applyNumberFormat="1" applyFont="1" applyBorder="1" applyAlignment="1">
      <alignment horizontal="right" indent="1"/>
    </xf>
    <xf numFmtId="2" fontId="11" fillId="0" borderId="1" xfId="1" applyNumberFormat="1" applyFont="1" applyBorder="1"/>
    <xf numFmtId="169" fontId="14" fillId="0" borderId="31" xfId="1" applyNumberFormat="1" applyFont="1" applyBorder="1" applyAlignment="1"/>
    <xf numFmtId="2" fontId="14" fillId="0" borderId="33" xfId="1" applyNumberFormat="1" applyFont="1" applyBorder="1" applyAlignment="1">
      <alignment horizontal="right" indent="1"/>
    </xf>
    <xf numFmtId="2" fontId="8" fillId="0" borderId="15" xfId="1" applyNumberFormat="1" applyFont="1" applyBorder="1" applyAlignment="1">
      <alignment horizontal="right" indent="1"/>
    </xf>
    <xf numFmtId="2" fontId="14" fillId="0" borderId="34" xfId="1" applyNumberFormat="1" applyFont="1" applyBorder="1" applyAlignment="1">
      <alignment horizontal="right" indent="1"/>
    </xf>
    <xf numFmtId="2" fontId="8" fillId="0" borderId="19" xfId="1" applyNumberFormat="1" applyFont="1" applyBorder="1" applyAlignment="1">
      <alignment horizontal="right" indent="1"/>
    </xf>
    <xf numFmtId="2" fontId="14" fillId="0" borderId="35" xfId="1" applyNumberFormat="1" applyFont="1" applyBorder="1" applyAlignment="1">
      <alignment horizontal="right" indent="1"/>
    </xf>
    <xf numFmtId="0" fontId="99" fillId="0" borderId="11" xfId="1" applyFont="1" applyBorder="1"/>
    <xf numFmtId="2" fontId="99" fillId="0" borderId="11" xfId="1" applyNumberFormat="1" applyFont="1" applyBorder="1" applyAlignment="1">
      <alignment horizontal="right" indent="1"/>
    </xf>
    <xf numFmtId="1" fontId="41" fillId="0" borderId="1" xfId="1" applyNumberFormat="1" applyFont="1" applyBorder="1" applyAlignment="1">
      <alignment horizontal="center"/>
    </xf>
    <xf numFmtId="169" fontId="14" fillId="0" borderId="1" xfId="1" applyNumberFormat="1" applyFont="1" applyBorder="1" applyAlignment="1"/>
    <xf numFmtId="2" fontId="39" fillId="0" borderId="38" xfId="1" applyNumberFormat="1" applyFont="1" applyBorder="1" applyAlignment="1">
      <alignment horizontal="right" indent="1"/>
    </xf>
    <xf numFmtId="166" fontId="10" fillId="0" borderId="4" xfId="1" applyNumberFormat="1" applyFont="1" applyBorder="1" applyAlignment="1">
      <alignment horizontal="right"/>
    </xf>
    <xf numFmtId="169" fontId="14" fillId="0" borderId="40" xfId="1" applyNumberFormat="1" applyFont="1" applyBorder="1"/>
    <xf numFmtId="1" fontId="100" fillId="0" borderId="4" xfId="1" applyNumberFormat="1" applyFont="1" applyBorder="1" applyAlignment="1">
      <alignment horizontal="right"/>
    </xf>
    <xf numFmtId="2" fontId="14" fillId="0" borderId="1" xfId="1" applyNumberFormat="1" applyFont="1" applyBorder="1" applyAlignment="1">
      <alignment vertical="center" wrapText="1"/>
    </xf>
    <xf numFmtId="166" fontId="16" fillId="0" borderId="4" xfId="1" applyNumberFormat="1" applyFont="1" applyBorder="1" applyAlignment="1">
      <alignment horizontal="right"/>
    </xf>
    <xf numFmtId="0" fontId="8" fillId="0" borderId="17" xfId="1" applyFont="1" applyBorder="1"/>
    <xf numFmtId="2" fontId="40" fillId="0" borderId="41" xfId="1" applyNumberFormat="1" applyFont="1" applyBorder="1" applyAlignment="1">
      <alignment horizontal="right" indent="1"/>
    </xf>
    <xf numFmtId="1" fontId="14" fillId="0" borderId="3" xfId="1" applyNumberFormat="1" applyFont="1" applyBorder="1" applyAlignment="1">
      <alignment horizontal="center"/>
    </xf>
    <xf numFmtId="2" fontId="41" fillId="0" borderId="33" xfId="1" applyNumberFormat="1" applyFont="1" applyBorder="1" applyAlignment="1">
      <alignment horizontal="right" indent="1"/>
    </xf>
    <xf numFmtId="2" fontId="14" fillId="0" borderId="4" xfId="1" applyNumberFormat="1" applyFont="1" applyBorder="1" applyAlignment="1">
      <alignment horizontal="right"/>
    </xf>
    <xf numFmtId="0" fontId="8" fillId="0" borderId="16" xfId="1" applyFont="1" applyBorder="1"/>
    <xf numFmtId="2" fontId="40" fillId="0" borderId="15" xfId="1" applyNumberFormat="1" applyFont="1" applyBorder="1" applyAlignment="1">
      <alignment horizontal="right" indent="1"/>
    </xf>
    <xf numFmtId="0" fontId="8" fillId="0" borderId="4" xfId="1" applyFont="1" applyBorder="1"/>
    <xf numFmtId="0" fontId="8" fillId="0" borderId="3" xfId="1" applyFont="1" applyBorder="1"/>
    <xf numFmtId="0" fontId="8" fillId="0" borderId="37" xfId="1" applyFont="1" applyBorder="1"/>
    <xf numFmtId="2" fontId="44" fillId="0" borderId="38" xfId="1" applyNumberFormat="1" applyFont="1" applyBorder="1" applyAlignment="1">
      <alignment horizontal="right" indent="1"/>
    </xf>
    <xf numFmtId="1" fontId="11" fillId="0" borderId="4" xfId="1" applyNumberFormat="1" applyFont="1" applyBorder="1" applyAlignment="1">
      <alignment horizontal="center"/>
    </xf>
    <xf numFmtId="2" fontId="62" fillId="0" borderId="39" xfId="1" applyNumberFormat="1" applyFont="1" applyBorder="1" applyAlignment="1">
      <alignment horizontal="right" indent="1"/>
    </xf>
    <xf numFmtId="0" fontId="14" fillId="0" borderId="14" xfId="1" applyFont="1" applyFill="1" applyBorder="1"/>
    <xf numFmtId="2" fontId="16" fillId="0" borderId="15" xfId="1" applyNumberFormat="1" applyFont="1" applyFill="1" applyBorder="1" applyAlignment="1">
      <alignment horizontal="right" indent="1"/>
    </xf>
    <xf numFmtId="0" fontId="36" fillId="0" borderId="4" xfId="1" applyFont="1" applyBorder="1"/>
    <xf numFmtId="2" fontId="15" fillId="0" borderId="33" xfId="1" applyNumberFormat="1" applyFont="1" applyFill="1" applyBorder="1" applyAlignment="1">
      <alignment horizontal="right" indent="1"/>
    </xf>
    <xf numFmtId="2" fontId="15" fillId="0" borderId="34" xfId="1" applyNumberFormat="1" applyFont="1" applyFill="1" applyBorder="1" applyAlignment="1">
      <alignment horizontal="right" indent="1"/>
    </xf>
    <xf numFmtId="0" fontId="4" fillId="0" borderId="14" xfId="1" applyFont="1" applyFill="1" applyBorder="1"/>
    <xf numFmtId="2" fontId="91" fillId="0" borderId="15" xfId="1" applyNumberFormat="1" applyFont="1" applyFill="1" applyBorder="1" applyAlignment="1">
      <alignment horizontal="right" indent="1"/>
    </xf>
    <xf numFmtId="2" fontId="93" fillId="0" borderId="34" xfId="1" applyNumberFormat="1" applyFont="1" applyFill="1" applyBorder="1" applyAlignment="1">
      <alignment horizontal="right" indent="1"/>
    </xf>
    <xf numFmtId="2" fontId="8" fillId="0" borderId="1" xfId="1" applyNumberFormat="1" applyFont="1" applyBorder="1" applyAlignment="1">
      <alignment horizontal="right"/>
    </xf>
    <xf numFmtId="2" fontId="42" fillId="0" borderId="15" xfId="1" applyNumberFormat="1" applyFont="1" applyFill="1" applyBorder="1" applyAlignment="1">
      <alignment horizontal="right" indent="1"/>
    </xf>
    <xf numFmtId="2" fontId="33" fillId="0" borderId="35" xfId="1" applyNumberFormat="1" applyFont="1" applyFill="1" applyBorder="1" applyAlignment="1">
      <alignment horizontal="right" indent="1"/>
    </xf>
    <xf numFmtId="0" fontId="8" fillId="0" borderId="37" xfId="1" applyFont="1" applyFill="1" applyBorder="1"/>
    <xf numFmtId="2" fontId="8" fillId="0" borderId="38" xfId="1" applyNumberFormat="1" applyFont="1" applyBorder="1" applyAlignment="1">
      <alignment horizontal="right" wrapText="1" indent="1"/>
    </xf>
    <xf numFmtId="2" fontId="11" fillId="0" borderId="4" xfId="1" applyNumberFormat="1" applyFont="1" applyBorder="1" applyAlignment="1">
      <alignment horizontal="right"/>
    </xf>
    <xf numFmtId="0" fontId="8" fillId="0" borderId="31" xfId="1" applyFont="1" applyBorder="1"/>
    <xf numFmtId="2" fontId="14" fillId="0" borderId="39" xfId="1" applyNumberFormat="1" applyFont="1" applyBorder="1" applyAlignment="1">
      <alignment horizontal="right" wrapText="1" indent="1"/>
    </xf>
    <xf numFmtId="0" fontId="8" fillId="0" borderId="12" xfId="1" applyFont="1" applyBorder="1"/>
    <xf numFmtId="2" fontId="8" fillId="0" borderId="41" xfId="1" applyNumberFormat="1" applyFont="1" applyBorder="1" applyAlignment="1">
      <alignment horizontal="right" wrapText="1" indent="1"/>
    </xf>
    <xf numFmtId="166" fontId="8" fillId="0" borderId="4" xfId="1" applyNumberFormat="1" applyFont="1" applyBorder="1" applyAlignment="1">
      <alignment horizontal="right"/>
    </xf>
    <xf numFmtId="2" fontId="14" fillId="0" borderId="33" xfId="1" applyNumberFormat="1" applyFont="1" applyBorder="1" applyAlignment="1">
      <alignment horizontal="right" wrapText="1" indent="1"/>
    </xf>
    <xf numFmtId="2" fontId="52" fillId="0" borderId="15" xfId="1" applyNumberFormat="1" applyFont="1" applyBorder="1" applyAlignment="1">
      <alignment horizontal="right" indent="1"/>
    </xf>
    <xf numFmtId="2" fontId="11" fillId="0" borderId="34" xfId="1" applyNumberFormat="1" applyFont="1" applyBorder="1" applyAlignment="1">
      <alignment horizontal="right" indent="1"/>
    </xf>
    <xf numFmtId="0" fontId="8" fillId="0" borderId="14" xfId="1" applyFont="1" applyFill="1" applyBorder="1"/>
    <xf numFmtId="2" fontId="101" fillId="0" borderId="15" xfId="1" applyNumberFormat="1" applyFont="1" applyBorder="1" applyAlignment="1">
      <alignment horizontal="right" indent="1"/>
    </xf>
    <xf numFmtId="2" fontId="102" fillId="0" borderId="34" xfId="1" applyNumberFormat="1" applyFont="1" applyBorder="1" applyAlignment="1">
      <alignment horizontal="right" indent="1"/>
    </xf>
    <xf numFmtId="2" fontId="103" fillId="0" borderId="15" xfId="1" applyNumberFormat="1" applyFont="1" applyBorder="1" applyAlignment="1">
      <alignment horizontal="right" indent="1"/>
    </xf>
    <xf numFmtId="166" fontId="9" fillId="0" borderId="4" xfId="1" applyNumberFormat="1" applyFont="1" applyBorder="1" applyAlignment="1">
      <alignment horizontal="right"/>
    </xf>
    <xf numFmtId="2" fontId="104" fillId="0" borderId="34" xfId="1" applyNumberFormat="1" applyFont="1" applyBorder="1" applyAlignment="1">
      <alignment horizontal="right" indent="1"/>
    </xf>
    <xf numFmtId="0" fontId="14" fillId="0" borderId="16" xfId="1" applyFont="1" applyBorder="1"/>
    <xf numFmtId="166" fontId="103" fillId="0" borderId="26" xfId="1" applyNumberFormat="1" applyFont="1" applyBorder="1" applyAlignment="1">
      <alignment horizontal="right" indent="1"/>
    </xf>
    <xf numFmtId="1" fontId="104" fillId="0" borderId="42" xfId="1" applyNumberFormat="1" applyFont="1" applyBorder="1" applyAlignment="1">
      <alignment horizontal="right" indent="1"/>
    </xf>
    <xf numFmtId="165" fontId="105" fillId="0" borderId="19" xfId="1" applyNumberFormat="1" applyFont="1" applyBorder="1" applyAlignment="1">
      <alignment horizontal="right" indent="1"/>
    </xf>
    <xf numFmtId="2" fontId="89" fillId="0" borderId="4" xfId="1" applyNumberFormat="1" applyFont="1" applyBorder="1"/>
    <xf numFmtId="2" fontId="89" fillId="0" borderId="35" xfId="1" applyNumberFormat="1" applyFont="1" applyBorder="1" applyAlignment="1">
      <alignment horizontal="right" indent="1"/>
    </xf>
    <xf numFmtId="1" fontId="16" fillId="0" borderId="4" xfId="1" applyNumberFormat="1" applyFont="1" applyBorder="1" applyAlignment="1">
      <alignment horizontal="right"/>
    </xf>
    <xf numFmtId="1" fontId="15" fillId="0" borderId="4" xfId="1" applyNumberFormat="1" applyFont="1" applyBorder="1" applyAlignment="1">
      <alignment horizontal="right"/>
    </xf>
    <xf numFmtId="168" fontId="62" fillId="0" borderId="1" xfId="1" applyNumberFormat="1" applyFont="1" applyBorder="1"/>
    <xf numFmtId="2" fontId="62" fillId="0" borderId="1" xfId="1" applyNumberFormat="1" applyFont="1" applyBorder="1"/>
    <xf numFmtId="0" fontId="14" fillId="0" borderId="1" xfId="1" applyFont="1" applyBorder="1" applyAlignment="1">
      <alignment horizontal="left" indent="1"/>
    </xf>
    <xf numFmtId="1" fontId="19" fillId="0" borderId="4" xfId="1" applyNumberFormat="1" applyFont="1" applyBorder="1" applyAlignment="1">
      <alignment horizontal="right"/>
    </xf>
    <xf numFmtId="168" fontId="7" fillId="0" borderId="1" xfId="1" applyNumberFormat="1" applyFont="1" applyBorder="1"/>
    <xf numFmtId="168" fontId="106" fillId="0" borderId="1" xfId="1" applyNumberFormat="1" applyFont="1" applyBorder="1"/>
    <xf numFmtId="2" fontId="106" fillId="0" borderId="1" xfId="1" applyNumberFormat="1" applyFont="1" applyBorder="1"/>
    <xf numFmtId="2" fontId="7" fillId="0" borderId="1" xfId="1" applyNumberFormat="1" applyFont="1" applyBorder="1" applyAlignment="1">
      <alignment horizontal="right"/>
    </xf>
    <xf numFmtId="0" fontId="7" fillId="0" borderId="1" xfId="1" applyFont="1" applyBorder="1" applyAlignment="1">
      <alignment horizontal="left" indent="1"/>
    </xf>
    <xf numFmtId="168" fontId="8" fillId="0" borderId="1" xfId="1" applyNumberFormat="1" applyFont="1" applyBorder="1" applyAlignment="1">
      <alignment horizontal="right" indent="1"/>
    </xf>
    <xf numFmtId="2" fontId="40" fillId="0" borderId="1" xfId="1" applyNumberFormat="1" applyFont="1" applyBorder="1"/>
    <xf numFmtId="0" fontId="108" fillId="0" borderId="1" xfId="1" applyFont="1" applyBorder="1" applyAlignment="1"/>
    <xf numFmtId="0" fontId="49" fillId="0" borderId="1" xfId="1" applyFont="1" applyBorder="1" applyAlignment="1"/>
    <xf numFmtId="168" fontId="8" fillId="0" borderId="1" xfId="1" applyNumberFormat="1" applyFont="1" applyFill="1" applyBorder="1" applyAlignment="1" applyProtection="1">
      <alignment horizontal="right" vertical="center" indent="1"/>
      <protection locked="0"/>
    </xf>
    <xf numFmtId="0" fontId="38" fillId="0" borderId="1" xfId="1" applyFont="1" applyBorder="1" applyAlignment="1"/>
    <xf numFmtId="168" fontId="14" fillId="0" borderId="1" xfId="1" applyNumberFormat="1" applyFont="1" applyFill="1" applyBorder="1" applyAlignment="1" applyProtection="1">
      <alignment horizontal="right" vertical="center" indent="1"/>
      <protection locked="0"/>
    </xf>
    <xf numFmtId="0" fontId="110" fillId="0" borderId="1" xfId="1" applyFont="1" applyBorder="1" applyAlignment="1">
      <alignment vertical="top"/>
    </xf>
    <xf numFmtId="0" fontId="7" fillId="0" borderId="4" xfId="1" applyFont="1" applyBorder="1"/>
    <xf numFmtId="168" fontId="7" fillId="0" borderId="10" xfId="1" applyNumberFormat="1" applyFont="1" applyBorder="1"/>
    <xf numFmtId="168" fontId="7" fillId="0" borderId="10" xfId="1" applyNumberFormat="1" applyFont="1" applyFill="1" applyBorder="1" applyAlignment="1" applyProtection="1">
      <alignment horizontal="right" vertical="center" indent="1"/>
      <protection locked="0"/>
    </xf>
    <xf numFmtId="0" fontId="111" fillId="0" borderId="1" xfId="1" applyFont="1" applyBorder="1" applyAlignment="1"/>
    <xf numFmtId="0" fontId="44" fillId="0" borderId="1" xfId="1" applyFont="1" applyBorder="1" applyAlignment="1">
      <alignment horizontal="left"/>
    </xf>
    <xf numFmtId="0" fontId="40" fillId="0" borderId="1" xfId="1" applyFont="1" applyBorder="1" applyAlignment="1">
      <alignment vertical="top"/>
    </xf>
    <xf numFmtId="0" fontId="112" fillId="0" borderId="1" xfId="1" applyFont="1" applyBorder="1" applyAlignment="1">
      <alignment horizontal="left"/>
    </xf>
    <xf numFmtId="165" fontId="8" fillId="0" borderId="1" xfId="1" applyNumberFormat="1" applyFont="1" applyBorder="1"/>
    <xf numFmtId="2" fontId="105" fillId="0" borderId="1" xfId="1" applyNumberFormat="1" applyFont="1" applyBorder="1" applyAlignment="1">
      <alignment horizontal="right" indent="1"/>
    </xf>
    <xf numFmtId="0" fontId="52" fillId="0" borderId="4" xfId="1" applyFont="1" applyBorder="1" applyAlignment="1">
      <alignment horizontal="left"/>
    </xf>
    <xf numFmtId="0" fontId="52" fillId="0" borderId="1" xfId="1" applyFont="1" applyBorder="1"/>
    <xf numFmtId="0" fontId="54" fillId="0" borderId="0" xfId="6"/>
    <xf numFmtId="10" fontId="70" fillId="0" borderId="0" xfId="6" applyNumberFormat="1" applyFont="1"/>
    <xf numFmtId="0" fontId="47" fillId="0" borderId="1" xfId="1" applyFont="1" applyBorder="1" applyAlignment="1"/>
    <xf numFmtId="2" fontId="22" fillId="0" borderId="1" xfId="1" applyNumberFormat="1" applyFont="1" applyBorder="1" applyAlignment="1"/>
    <xf numFmtId="1" fontId="12" fillId="0" borderId="1" xfId="1" applyNumberFormat="1" applyFont="1" applyBorder="1" applyAlignment="1"/>
    <xf numFmtId="0" fontId="74" fillId="0" borderId="1" xfId="4" applyFont="1" applyBorder="1"/>
    <xf numFmtId="0" fontId="54" fillId="0" borderId="31" xfId="4" applyBorder="1"/>
    <xf numFmtId="0" fontId="54" fillId="0" borderId="0" xfId="4"/>
    <xf numFmtId="0" fontId="27" fillId="0" borderId="1" xfId="1" applyFont="1" applyBorder="1" applyAlignment="1"/>
    <xf numFmtId="0" fontId="85" fillId="0" borderId="1" xfId="4" applyFont="1" applyBorder="1" applyAlignment="1"/>
    <xf numFmtId="49" fontId="50" fillId="0" borderId="1" xfId="3" applyNumberFormat="1" applyFont="1" applyBorder="1" applyAlignment="1">
      <alignment horizontal="left" vertical="center"/>
    </xf>
    <xf numFmtId="0" fontId="115" fillId="0" borderId="1" xfId="1" applyFont="1" applyBorder="1" applyAlignment="1">
      <alignment horizontal="left" vertical="center"/>
    </xf>
    <xf numFmtId="0" fontId="54" fillId="0" borderId="1" xfId="4" applyFont="1" applyBorder="1" applyAlignment="1"/>
    <xf numFmtId="0" fontId="54" fillId="0" borderId="1" xfId="4" applyBorder="1" applyAlignment="1"/>
    <xf numFmtId="49" fontId="33" fillId="0" borderId="9" xfId="3" applyNumberFormat="1" applyFont="1" applyBorder="1" applyAlignment="1">
      <alignment horizontal="right" vertical="center"/>
    </xf>
    <xf numFmtId="0" fontId="53" fillId="0" borderId="10" xfId="1" applyFont="1" applyBorder="1" applyAlignment="1"/>
    <xf numFmtId="0" fontId="14" fillId="0" borderId="10" xfId="4" applyFont="1" applyBorder="1" applyAlignment="1">
      <alignment horizontal="right" indent="1"/>
    </xf>
    <xf numFmtId="0" fontId="16" fillId="0" borderId="12" xfId="1" applyFont="1" applyBorder="1" applyAlignment="1">
      <alignment vertical="top"/>
    </xf>
    <xf numFmtId="2" fontId="59" fillId="0" borderId="13" xfId="11" applyNumberFormat="1" applyFont="1" applyBorder="1" applyAlignment="1">
      <alignment horizontal="right" indent="1"/>
    </xf>
    <xf numFmtId="2" fontId="10" fillId="0" borderId="4" xfId="11" applyNumberFormat="1" applyFont="1" applyBorder="1"/>
    <xf numFmtId="165" fontId="27" fillId="0" borderId="15" xfId="1" applyNumberFormat="1" applyFont="1" applyFill="1" applyBorder="1" applyAlignment="1">
      <alignment horizontal="right" indent="1"/>
    </xf>
    <xf numFmtId="2" fontId="40" fillId="0" borderId="4" xfId="11" applyNumberFormat="1" applyFont="1" applyBorder="1"/>
    <xf numFmtId="168" fontId="1" fillId="0" borderId="1" xfId="4" applyNumberFormat="1" applyFont="1" applyBorder="1"/>
    <xf numFmtId="2" fontId="40" fillId="0" borderId="3" xfId="1" applyNumberFormat="1" applyFont="1" applyBorder="1"/>
    <xf numFmtId="165" fontId="42" fillId="0" borderId="15" xfId="1" applyNumberFormat="1" applyFont="1" applyBorder="1" applyAlignment="1">
      <alignment horizontal="right" indent="1"/>
    </xf>
    <xf numFmtId="2" fontId="105" fillId="0" borderId="4" xfId="11" applyNumberFormat="1" applyFont="1" applyBorder="1"/>
    <xf numFmtId="2" fontId="116" fillId="0" borderId="1" xfId="11" applyNumberFormat="1" applyFont="1" applyBorder="1" applyAlignment="1">
      <alignment horizontal="right"/>
    </xf>
    <xf numFmtId="2" fontId="116" fillId="0" borderId="1" xfId="11" applyNumberFormat="1" applyFont="1" applyBorder="1"/>
    <xf numFmtId="2" fontId="54" fillId="0" borderId="1" xfId="4" applyNumberFormat="1" applyBorder="1"/>
    <xf numFmtId="165" fontId="117" fillId="0" borderId="15" xfId="1" applyNumberFormat="1" applyFont="1" applyBorder="1" applyAlignment="1">
      <alignment horizontal="right" indent="1"/>
    </xf>
    <xf numFmtId="2" fontId="118" fillId="0" borderId="4" xfId="11" applyNumberFormat="1" applyFont="1" applyBorder="1"/>
    <xf numFmtId="165" fontId="42" fillId="0" borderId="26" xfId="1" applyNumberFormat="1" applyFont="1" applyBorder="1" applyAlignment="1">
      <alignment horizontal="right" indent="1"/>
    </xf>
    <xf numFmtId="2" fontId="42" fillId="0" borderId="3" xfId="1" applyNumberFormat="1" applyFont="1" applyBorder="1"/>
    <xf numFmtId="165" fontId="2" fillId="0" borderId="19" xfId="1" applyNumberFormat="1" applyFont="1" applyBorder="1" applyAlignment="1">
      <alignment horizontal="right" indent="1"/>
    </xf>
    <xf numFmtId="0" fontId="70" fillId="0" borderId="1" xfId="4" applyFont="1" applyBorder="1"/>
    <xf numFmtId="0" fontId="119" fillId="0" borderId="1" xfId="4" applyFont="1" applyBorder="1"/>
    <xf numFmtId="0" fontId="70" fillId="0" borderId="31" xfId="4" applyFont="1" applyBorder="1"/>
    <xf numFmtId="0" fontId="70" fillId="0" borderId="0" xfId="4" applyFont="1"/>
    <xf numFmtId="0" fontId="4" fillId="0" borderId="1" xfId="1" applyFont="1" applyBorder="1" applyAlignment="1">
      <alignment horizontal="left"/>
    </xf>
    <xf numFmtId="165" fontId="8" fillId="0" borderId="1" xfId="1" applyNumberFormat="1" applyFont="1" applyBorder="1" applyAlignment="1">
      <alignment horizontal="right" indent="1"/>
    </xf>
    <xf numFmtId="2" fontId="8" fillId="0" borderId="1" xfId="11" applyNumberFormat="1" applyFont="1" applyBorder="1"/>
    <xf numFmtId="165" fontId="54" fillId="0" borderId="1" xfId="4" applyNumberFormat="1" applyBorder="1"/>
    <xf numFmtId="2" fontId="23" fillId="0" borderId="13" xfId="1" applyNumberFormat="1" applyFont="1" applyBorder="1" applyAlignment="1">
      <alignment horizontal="right" indent="1"/>
    </xf>
    <xf numFmtId="2" fontId="10" fillId="0" borderId="3" xfId="1" applyNumberFormat="1" applyFont="1" applyBorder="1"/>
    <xf numFmtId="169" fontId="120" fillId="0" borderId="1" xfId="11" applyNumberFormat="1" applyFont="1" applyBorder="1"/>
    <xf numFmtId="0" fontId="4" fillId="0" borderId="1" xfId="11" applyBorder="1"/>
    <xf numFmtId="165" fontId="2" fillId="0" borderId="15" xfId="3" applyNumberFormat="1" applyFont="1" applyBorder="1" applyAlignment="1">
      <alignment horizontal="right" vertical="center" indent="1"/>
    </xf>
    <xf numFmtId="2" fontId="2" fillId="0" borderId="3" xfId="1" applyNumberFormat="1" applyFont="1" applyBorder="1"/>
    <xf numFmtId="165" fontId="42" fillId="0" borderId="15" xfId="3" applyNumberFormat="1" applyFont="1" applyBorder="1" applyAlignment="1">
      <alignment horizontal="right" vertical="center" indent="1"/>
    </xf>
    <xf numFmtId="2" fontId="11" fillId="0" borderId="1" xfId="11" applyNumberFormat="1" applyFont="1" applyBorder="1" applyAlignment="1">
      <alignment horizontal="center"/>
    </xf>
    <xf numFmtId="165" fontId="117" fillId="0" borderId="15" xfId="3" applyNumberFormat="1" applyFont="1" applyBorder="1" applyAlignment="1">
      <alignment horizontal="right" vertical="center" indent="1"/>
    </xf>
    <xf numFmtId="2" fontId="117" fillId="0" borderId="3" xfId="1" applyNumberFormat="1" applyFont="1" applyBorder="1"/>
    <xf numFmtId="165" fontId="45" fillId="0" borderId="15" xfId="3" applyNumberFormat="1" applyFont="1" applyBorder="1" applyAlignment="1">
      <alignment horizontal="right" vertical="center" indent="1"/>
    </xf>
    <xf numFmtId="168" fontId="119" fillId="0" borderId="1" xfId="4" applyNumberFormat="1" applyFont="1" applyBorder="1" applyAlignment="1">
      <alignment horizontal="right"/>
    </xf>
    <xf numFmtId="2" fontId="105" fillId="0" borderId="3" xfId="1" applyNumberFormat="1" applyFont="1" applyBorder="1"/>
    <xf numFmtId="168" fontId="78" fillId="0" borderId="1" xfId="4" applyNumberFormat="1" applyFont="1" applyBorder="1" applyAlignment="1">
      <alignment horizontal="left"/>
    </xf>
    <xf numFmtId="165" fontId="42" fillId="0" borderId="19" xfId="3" applyNumberFormat="1" applyFont="1" applyBorder="1" applyAlignment="1">
      <alignment horizontal="right" vertical="center" indent="1"/>
    </xf>
    <xf numFmtId="168" fontId="119" fillId="0" borderId="1" xfId="4" applyNumberFormat="1" applyFont="1" applyBorder="1" applyAlignment="1">
      <alignment horizontal="left"/>
    </xf>
    <xf numFmtId="2" fontId="14" fillId="0" borderId="24" xfId="1" applyNumberFormat="1" applyFont="1" applyBorder="1" applyAlignment="1">
      <alignment horizontal="right"/>
    </xf>
    <xf numFmtId="2" fontId="14" fillId="0" borderId="24" xfId="1" applyNumberFormat="1" applyFont="1" applyBorder="1" applyAlignment="1">
      <alignment horizontal="right" indent="1"/>
    </xf>
    <xf numFmtId="0" fontId="38" fillId="0" borderId="1" xfId="1" applyFont="1" applyBorder="1" applyAlignment="1">
      <alignment wrapText="1"/>
    </xf>
    <xf numFmtId="0" fontId="14" fillId="0" borderId="1" xfId="4" applyFont="1" applyBorder="1" applyAlignment="1">
      <alignment horizontal="right"/>
    </xf>
    <xf numFmtId="0" fontId="14" fillId="0" borderId="1" xfId="4" applyFont="1" applyBorder="1" applyAlignment="1">
      <alignment horizontal="right" indent="1"/>
    </xf>
    <xf numFmtId="9" fontId="81" fillId="0" borderId="1" xfId="4" applyNumberFormat="1" applyFont="1" applyBorder="1"/>
    <xf numFmtId="0" fontId="4" fillId="0" borderId="12" xfId="1" applyFont="1" applyBorder="1" applyAlignment="1">
      <alignment horizontal="left"/>
    </xf>
    <xf numFmtId="165" fontId="63" fillId="0" borderId="13" xfId="1" applyNumberFormat="1" applyFont="1" applyFill="1" applyBorder="1" applyAlignment="1">
      <alignment horizontal="right" indent="1"/>
    </xf>
    <xf numFmtId="2" fontId="3" fillId="0" borderId="4" xfId="4" applyNumberFormat="1" applyFont="1" applyBorder="1"/>
    <xf numFmtId="0" fontId="74" fillId="0" borderId="31" xfId="4" applyFont="1" applyBorder="1"/>
    <xf numFmtId="0" fontId="74" fillId="0" borderId="0" xfId="4" applyFont="1"/>
    <xf numFmtId="0" fontId="63" fillId="0" borderId="14" xfId="1" applyFont="1" applyBorder="1"/>
    <xf numFmtId="2" fontId="45" fillId="0" borderId="3" xfId="1" applyNumberFormat="1" applyFont="1" applyBorder="1"/>
    <xf numFmtId="0" fontId="122" fillId="0" borderId="1" xfId="4" applyFont="1" applyBorder="1"/>
    <xf numFmtId="0" fontId="79" fillId="0" borderId="1" xfId="4" applyFont="1" applyBorder="1"/>
    <xf numFmtId="0" fontId="79" fillId="0" borderId="31" xfId="4" applyFont="1" applyBorder="1"/>
    <xf numFmtId="0" fontId="79" fillId="0" borderId="0" xfId="4" applyFont="1"/>
    <xf numFmtId="0" fontId="121" fillId="0" borderId="14" xfId="1" applyFont="1" applyBorder="1"/>
    <xf numFmtId="2" fontId="2" fillId="0" borderId="15" xfId="1" applyNumberFormat="1" applyFont="1" applyBorder="1" applyAlignment="1">
      <alignment horizontal="right" indent="1"/>
    </xf>
    <xf numFmtId="2" fontId="2" fillId="0" borderId="4" xfId="11" applyNumberFormat="1" applyFont="1" applyBorder="1"/>
    <xf numFmtId="168" fontId="79" fillId="0" borderId="1" xfId="4" applyNumberFormat="1" applyFont="1" applyBorder="1"/>
    <xf numFmtId="0" fontId="103" fillId="0" borderId="14" xfId="1" applyFont="1" applyBorder="1"/>
    <xf numFmtId="2" fontId="117" fillId="0" borderId="15" xfId="1" applyNumberFormat="1" applyFont="1" applyBorder="1" applyAlignment="1">
      <alignment horizontal="right" indent="1"/>
    </xf>
    <xf numFmtId="166" fontId="14" fillId="0" borderId="15" xfId="1" applyNumberFormat="1" applyFont="1" applyBorder="1" applyAlignment="1">
      <alignment horizontal="right" indent="1"/>
    </xf>
    <xf numFmtId="2" fontId="119" fillId="0" borderId="4" xfId="4" applyNumberFormat="1" applyFont="1" applyBorder="1"/>
    <xf numFmtId="0" fontId="119" fillId="0" borderId="31" xfId="4" applyFont="1" applyBorder="1"/>
    <xf numFmtId="0" fontId="119" fillId="0" borderId="0" xfId="4" applyFont="1"/>
    <xf numFmtId="2" fontId="4" fillId="0" borderId="15" xfId="1" applyNumberFormat="1" applyFont="1" applyFill="1" applyBorder="1" applyAlignment="1">
      <alignment horizontal="right" indent="1"/>
    </xf>
    <xf numFmtId="2" fontId="1" fillId="0" borderId="4" xfId="4" applyNumberFormat="1" applyFont="1" applyBorder="1"/>
    <xf numFmtId="165" fontId="4" fillId="0" borderId="19" xfId="1" applyNumberFormat="1" applyFont="1" applyFill="1" applyBorder="1" applyAlignment="1">
      <alignment horizontal="right" indent="1"/>
    </xf>
    <xf numFmtId="165" fontId="14" fillId="0" borderId="9" xfId="1" applyNumberFormat="1" applyFont="1" applyBorder="1" applyAlignment="1">
      <alignment horizontal="right" indent="1"/>
    </xf>
    <xf numFmtId="0" fontId="71" fillId="0" borderId="1" xfId="1" applyFont="1" applyBorder="1"/>
    <xf numFmtId="0" fontId="39" fillId="0" borderId="1" xfId="1" applyFont="1" applyBorder="1" applyAlignment="1"/>
    <xf numFmtId="0" fontId="74" fillId="0" borderId="1" xfId="0" applyFont="1" applyBorder="1" applyAlignment="1"/>
    <xf numFmtId="0" fontId="59" fillId="0" borderId="1" xfId="1" applyFont="1" applyBorder="1" applyAlignment="1"/>
    <xf numFmtId="0" fontId="0" fillId="0" borderId="1" xfId="0" applyBorder="1" applyAlignment="1">
      <alignment horizontal="right"/>
    </xf>
    <xf numFmtId="0" fontId="71" fillId="0" borderId="1" xfId="1" applyFont="1" applyBorder="1" applyAlignment="1"/>
    <xf numFmtId="0" fontId="0" fillId="0" borderId="1" xfId="0" applyBorder="1" applyAlignment="1"/>
    <xf numFmtId="3" fontId="71" fillId="0" borderId="1" xfId="1" applyNumberFormat="1" applyFont="1" applyBorder="1" applyAlignment="1"/>
    <xf numFmtId="0" fontId="36" fillId="0" borderId="10" xfId="1" applyFont="1" applyBorder="1"/>
    <xf numFmtId="0" fontId="36" fillId="0" borderId="1" xfId="1" applyFont="1" applyBorder="1"/>
    <xf numFmtId="0" fontId="4" fillId="0" borderId="13" xfId="1" applyFont="1" applyBorder="1" applyAlignment="1"/>
    <xf numFmtId="0" fontId="4" fillId="0" borderId="43" xfId="1" applyBorder="1"/>
    <xf numFmtId="16" fontId="14" fillId="0" borderId="22" xfId="1" applyNumberFormat="1" applyFont="1" applyBorder="1" applyAlignment="1">
      <alignment horizontal="right"/>
    </xf>
    <xf numFmtId="2" fontId="63" fillId="0" borderId="15" xfId="1" applyNumberFormat="1" applyFont="1" applyBorder="1" applyAlignment="1">
      <alignment horizontal="right" indent="1"/>
    </xf>
    <xf numFmtId="3" fontId="9" fillId="0" borderId="3" xfId="1" applyNumberFormat="1" applyFont="1" applyBorder="1"/>
    <xf numFmtId="2" fontId="124" fillId="0" borderId="1" xfId="1" applyNumberFormat="1" applyFont="1" applyBorder="1"/>
    <xf numFmtId="165" fontId="124" fillId="0" borderId="1" xfId="1" applyNumberFormat="1" applyFont="1" applyBorder="1"/>
    <xf numFmtId="0" fontId="36" fillId="0" borderId="31" xfId="1" applyFont="1" applyBorder="1"/>
    <xf numFmtId="9" fontId="49" fillId="0" borderId="19" xfId="1" applyNumberFormat="1" applyFont="1" applyBorder="1" applyAlignment="1">
      <alignment horizontal="right" indent="1"/>
    </xf>
    <xf numFmtId="16" fontId="14" fillId="0" borderId="1" xfId="1" applyNumberFormat="1" applyFont="1" applyFill="1" applyBorder="1" applyAlignment="1">
      <alignment horizontal="right"/>
    </xf>
    <xf numFmtId="0" fontId="4" fillId="0" borderId="6" xfId="1" applyBorder="1"/>
    <xf numFmtId="3" fontId="9" fillId="0" borderId="1" xfId="1" applyNumberFormat="1" applyFont="1" applyFill="1" applyBorder="1"/>
    <xf numFmtId="10" fontId="14" fillId="0" borderId="1" xfId="1" applyNumberFormat="1" applyFont="1" applyBorder="1"/>
    <xf numFmtId="170" fontId="14" fillId="0" borderId="1" xfId="1" applyNumberFormat="1" applyFont="1" applyBorder="1"/>
    <xf numFmtId="3" fontId="52" fillId="0" borderId="3" xfId="1" applyNumberFormat="1" applyFont="1" applyBorder="1"/>
    <xf numFmtId="2" fontId="63" fillId="0" borderId="1" xfId="1" applyNumberFormat="1" applyFont="1" applyBorder="1" applyAlignment="1">
      <alignment horizontal="right" indent="1"/>
    </xf>
    <xf numFmtId="2" fontId="118" fillId="0" borderId="1" xfId="1" applyNumberFormat="1" applyFont="1" applyBorder="1" applyAlignment="1">
      <alignment horizontal="right" indent="1"/>
    </xf>
    <xf numFmtId="2" fontId="4" fillId="0" borderId="1" xfId="1" applyNumberFormat="1" applyFont="1" applyBorder="1"/>
    <xf numFmtId="9" fontId="125" fillId="0" borderId="1" xfId="1" applyNumberFormat="1" applyFont="1" applyBorder="1" applyAlignment="1">
      <alignment horizontal="right" indent="1"/>
    </xf>
    <xf numFmtId="2" fontId="8" fillId="0" borderId="1" xfId="1" applyNumberFormat="1" applyFont="1" applyBorder="1" applyAlignment="1">
      <alignment horizontal="right" indent="1"/>
    </xf>
    <xf numFmtId="0" fontId="71" fillId="0" borderId="31" xfId="1" applyFont="1" applyBorder="1" applyAlignment="1"/>
    <xf numFmtId="49" fontId="127" fillId="0" borderId="1" xfId="3" applyNumberFormat="1" applyFont="1" applyBorder="1" applyAlignment="1">
      <alignment horizontal="right" vertical="center"/>
    </xf>
    <xf numFmtId="0" fontId="128" fillId="0" borderId="1" xfId="1" applyFont="1" applyBorder="1" applyAlignment="1">
      <alignment horizontal="right" indent="1"/>
    </xf>
    <xf numFmtId="0" fontId="129" fillId="0" borderId="1" xfId="1" applyFont="1" applyBorder="1" applyAlignment="1">
      <alignment horizontal="center" vertical="center"/>
    </xf>
    <xf numFmtId="0" fontId="72" fillId="0" borderId="30" xfId="7" applyFont="1" applyBorder="1"/>
    <xf numFmtId="2" fontId="46" fillId="0" borderId="36" xfId="1" applyNumberFormat="1" applyFont="1" applyBorder="1" applyAlignment="1">
      <alignment horizontal="right" indent="1"/>
    </xf>
    <xf numFmtId="2" fontId="7" fillId="0" borderId="36" xfId="1" applyNumberFormat="1" applyFont="1" applyBorder="1" applyAlignment="1">
      <alignment horizontal="right"/>
    </xf>
    <xf numFmtId="0" fontId="7" fillId="0" borderId="9" xfId="1" applyFont="1" applyBorder="1" applyAlignment="1"/>
    <xf numFmtId="2" fontId="59" fillId="0" borderId="13" xfId="1" applyNumberFormat="1" applyFont="1" applyBorder="1" applyAlignment="1">
      <alignment horizontal="right" indent="1"/>
    </xf>
    <xf numFmtId="2" fontId="76" fillId="0" borderId="15" xfId="1" applyNumberFormat="1" applyFont="1" applyBorder="1" applyAlignment="1">
      <alignment horizontal="right" indent="1"/>
    </xf>
    <xf numFmtId="2" fontId="77" fillId="0" borderId="19" xfId="1" applyNumberFormat="1" applyFont="1" applyBorder="1" applyAlignment="1">
      <alignment horizontal="right" indent="1"/>
    </xf>
    <xf numFmtId="0" fontId="92" fillId="0" borderId="1" xfId="9" applyFont="1" applyBorder="1"/>
    <xf numFmtId="2" fontId="45" fillId="0" borderId="13" xfId="3" applyNumberFormat="1" applyFont="1" applyBorder="1" applyAlignment="1">
      <alignment horizontal="right" indent="1"/>
    </xf>
    <xf numFmtId="2" fontId="33" fillId="0" borderId="1" xfId="3" applyNumberFormat="1" applyFont="1" applyBorder="1" applyAlignment="1">
      <alignment horizontal="left" indent="1"/>
    </xf>
    <xf numFmtId="2" fontId="33" fillId="0" borderId="1" xfId="1" applyNumberFormat="1" applyFont="1" applyBorder="1" applyAlignment="1">
      <alignment horizontal="center" vertical="center" wrapText="1"/>
    </xf>
    <xf numFmtId="0" fontId="4" fillId="0" borderId="44" xfId="1" applyFont="1" applyBorder="1"/>
    <xf numFmtId="2" fontId="50" fillId="0" borderId="24" xfId="1" applyNumberFormat="1" applyFont="1" applyBorder="1" applyAlignment="1">
      <alignment horizontal="right" indent="1"/>
    </xf>
    <xf numFmtId="2" fontId="8" fillId="0" borderId="9" xfId="1" applyNumberFormat="1" applyFont="1" applyBorder="1"/>
    <xf numFmtId="2" fontId="33" fillId="0" borderId="43" xfId="1" applyNumberFormat="1" applyFont="1" applyBorder="1" applyAlignment="1">
      <alignment horizontal="center"/>
    </xf>
    <xf numFmtId="0" fontId="8" fillId="0" borderId="9" xfId="1" applyFont="1" applyBorder="1"/>
    <xf numFmtId="168" fontId="4" fillId="0" borderId="9" xfId="1" applyNumberFormat="1" applyFont="1" applyBorder="1"/>
    <xf numFmtId="0" fontId="1" fillId="0" borderId="9" xfId="10" applyFont="1" applyBorder="1" applyAlignment="1"/>
    <xf numFmtId="0" fontId="4" fillId="0" borderId="36" xfId="1" applyFont="1" applyBorder="1"/>
    <xf numFmtId="0" fontId="4" fillId="0" borderId="30" xfId="1" applyFont="1" applyBorder="1"/>
    <xf numFmtId="2" fontId="59" fillId="0" borderId="38" xfId="1" applyNumberFormat="1" applyFont="1" applyBorder="1" applyAlignment="1">
      <alignment horizontal="right" indent="1"/>
    </xf>
    <xf numFmtId="1" fontId="10" fillId="0" borderId="4" xfId="1" applyNumberFormat="1" applyFont="1" applyBorder="1" applyAlignment="1">
      <alignment horizontal="right"/>
    </xf>
    <xf numFmtId="9" fontId="14" fillId="0" borderId="1" xfId="1" applyNumberFormat="1" applyFont="1" applyBorder="1" applyAlignment="1">
      <alignment horizontal="left"/>
    </xf>
    <xf numFmtId="0" fontId="54" fillId="0" borderId="0" xfId="6" applyFont="1"/>
    <xf numFmtId="0" fontId="119" fillId="0" borderId="12" xfId="1" applyFont="1" applyBorder="1"/>
    <xf numFmtId="2" fontId="96" fillId="0" borderId="1" xfId="1" applyNumberFormat="1" applyFont="1" applyBorder="1"/>
    <xf numFmtId="0" fontId="119" fillId="0" borderId="14" xfId="1" applyFont="1" applyBorder="1"/>
    <xf numFmtId="2" fontId="103" fillId="0" borderId="38" xfId="1" applyNumberFormat="1" applyFont="1" applyBorder="1" applyAlignment="1">
      <alignment horizontal="right" indent="1"/>
    </xf>
    <xf numFmtId="0" fontId="122" fillId="0" borderId="1" xfId="6" applyFont="1" applyBorder="1"/>
    <xf numFmtId="0" fontId="122" fillId="0" borderId="0" xfId="6" applyFont="1"/>
    <xf numFmtId="0" fontId="14" fillId="0" borderId="17" xfId="1" applyFont="1" applyFill="1" applyBorder="1"/>
    <xf numFmtId="2" fontId="103" fillId="0" borderId="15" xfId="1" applyNumberFormat="1" applyFont="1" applyFill="1" applyBorder="1" applyAlignment="1">
      <alignment horizontal="right" indent="1"/>
    </xf>
    <xf numFmtId="168" fontId="8" fillId="0" borderId="1" xfId="1" applyNumberFormat="1" applyFont="1" applyBorder="1" applyAlignment="1">
      <alignment horizontal="right"/>
    </xf>
    <xf numFmtId="0" fontId="105" fillId="0" borderId="18" xfId="1" applyFont="1" applyBorder="1"/>
    <xf numFmtId="2" fontId="105" fillId="0" borderId="19" xfId="1" applyNumberFormat="1" applyFont="1" applyBorder="1" applyAlignment="1">
      <alignment horizontal="right" indent="1"/>
    </xf>
    <xf numFmtId="0" fontId="0" fillId="0" borderId="1" xfId="1" applyFont="1" applyBorder="1" applyAlignment="1"/>
    <xf numFmtId="2" fontId="105" fillId="0" borderId="1" xfId="1" applyNumberFormat="1" applyFont="1" applyBorder="1" applyAlignment="1">
      <alignment horizontal="right"/>
    </xf>
    <xf numFmtId="0" fontId="135" fillId="0" borderId="0" xfId="2" applyFont="1"/>
    <xf numFmtId="0" fontId="135" fillId="0" borderId="0" xfId="2" applyFont="1" applyBorder="1"/>
    <xf numFmtId="0" fontId="137" fillId="2" borderId="2" xfId="12" applyFont="1" applyFill="1" applyBorder="1" applyAlignment="1" applyProtection="1">
      <alignment horizontal="left"/>
    </xf>
    <xf numFmtId="0" fontId="7" fillId="0" borderId="2" xfId="2" applyFont="1" applyBorder="1" applyAlignment="1"/>
    <xf numFmtId="0" fontId="7" fillId="0" borderId="45" xfId="2" applyFont="1" applyBorder="1" applyAlignment="1"/>
    <xf numFmtId="0" fontId="7" fillId="0" borderId="2" xfId="2" applyFont="1" applyBorder="1" applyAlignment="1">
      <alignment horizontal="right"/>
    </xf>
    <xf numFmtId="0" fontId="7" fillId="0" borderId="2" xfId="2" applyFont="1" applyBorder="1"/>
    <xf numFmtId="0" fontId="7" fillId="0" borderId="46" xfId="2" applyFont="1" applyBorder="1"/>
    <xf numFmtId="0" fontId="7" fillId="0" borderId="0" xfId="2" applyFont="1"/>
    <xf numFmtId="0" fontId="7" fillId="0" borderId="0" xfId="2" applyFont="1" applyBorder="1"/>
    <xf numFmtId="0" fontId="14" fillId="0" borderId="47" xfId="2" applyFont="1" applyBorder="1"/>
    <xf numFmtId="0" fontId="4" fillId="0" borderId="2" xfId="2" applyBorder="1" applyAlignment="1">
      <alignment horizontal="right" indent="1"/>
    </xf>
    <xf numFmtId="0" fontId="9" fillId="0" borderId="2" xfId="2" applyFont="1" applyBorder="1" applyAlignment="1">
      <alignment horizontal="right" indent="1"/>
    </xf>
    <xf numFmtId="3" fontId="24" fillId="0" borderId="48" xfId="2" applyNumberFormat="1" applyFont="1" applyBorder="1"/>
    <xf numFmtId="0" fontId="4" fillId="0" borderId="0" xfId="2" applyFont="1"/>
    <xf numFmtId="0" fontId="4" fillId="0" borderId="0" xfId="2" applyFont="1" applyBorder="1"/>
    <xf numFmtId="0" fontId="8" fillId="0" borderId="2" xfId="2" applyFont="1" applyBorder="1"/>
    <xf numFmtId="3" fontId="24" fillId="0" borderId="50" xfId="2" applyNumberFormat="1" applyFont="1" applyBorder="1"/>
    <xf numFmtId="0" fontId="9" fillId="0" borderId="49" xfId="2" applyFont="1" applyBorder="1" applyAlignment="1">
      <alignment horizontal="left" indent="1"/>
    </xf>
    <xf numFmtId="0" fontId="9" fillId="0" borderId="2" xfId="2" applyFont="1" applyBorder="1" applyAlignment="1">
      <alignment horizontal="left" indent="1"/>
    </xf>
    <xf numFmtId="0" fontId="14" fillId="0" borderId="0" xfId="2" applyFont="1"/>
    <xf numFmtId="0" fontId="14" fillId="0" borderId="0" xfId="2" applyFont="1" applyBorder="1"/>
    <xf numFmtId="0" fontId="9" fillId="0" borderId="2" xfId="2" applyFont="1" applyBorder="1"/>
    <xf numFmtId="0" fontId="4" fillId="0" borderId="47" xfId="2" applyBorder="1"/>
    <xf numFmtId="166" fontId="4" fillId="0" borderId="47" xfId="2" applyNumberFormat="1" applyBorder="1"/>
    <xf numFmtId="0" fontId="4" fillId="0" borderId="0" xfId="2"/>
    <xf numFmtId="0" fontId="4" fillId="0" borderId="0" xfId="2" applyBorder="1"/>
    <xf numFmtId="3" fontId="4" fillId="0" borderId="9" xfId="2" applyNumberFormat="1" applyBorder="1" applyAlignment="1"/>
    <xf numFmtId="3" fontId="14" fillId="0" borderId="0" xfId="2" applyNumberFormat="1" applyFont="1"/>
    <xf numFmtId="3" fontId="4" fillId="0" borderId="1" xfId="2" applyNumberFormat="1" applyFont="1" applyBorder="1" applyAlignment="1"/>
    <xf numFmtId="0" fontId="4" fillId="0" borderId="1" xfId="2" applyBorder="1" applyAlignment="1"/>
    <xf numFmtId="0" fontId="4" fillId="0" borderId="2" xfId="2" applyBorder="1"/>
    <xf numFmtId="166" fontId="4" fillId="0" borderId="2" xfId="2" applyNumberFormat="1" applyBorder="1"/>
    <xf numFmtId="14" fontId="9" fillId="0" borderId="2" xfId="2" applyNumberFormat="1" applyFont="1" applyBorder="1" applyAlignment="1"/>
    <xf numFmtId="0" fontId="9" fillId="0" borderId="2" xfId="2" applyFont="1" applyBorder="1" applyAlignment="1"/>
    <xf numFmtId="0" fontId="9" fillId="0" borderId="53" xfId="2" applyFont="1" applyBorder="1"/>
    <xf numFmtId="0" fontId="9" fillId="0" borderId="55" xfId="2" applyFont="1" applyBorder="1"/>
    <xf numFmtId="0" fontId="9" fillId="0" borderId="55" xfId="2" applyFont="1" applyBorder="1" applyAlignment="1">
      <alignment horizontal="center"/>
    </xf>
    <xf numFmtId="0" fontId="4" fillId="0" borderId="56" xfId="2" applyBorder="1"/>
    <xf numFmtId="0" fontId="4" fillId="0" borderId="27" xfId="2" applyFont="1" applyFill="1" applyBorder="1"/>
    <xf numFmtId="0" fontId="4" fillId="0" borderId="28" xfId="2" applyBorder="1"/>
    <xf numFmtId="0" fontId="4" fillId="0" borderId="57" xfId="2" applyBorder="1"/>
    <xf numFmtId="0" fontId="4" fillId="0" borderId="28" xfId="2" applyFont="1" applyFill="1" applyBorder="1"/>
    <xf numFmtId="0" fontId="4" fillId="0" borderId="58" xfId="2" applyBorder="1"/>
    <xf numFmtId="0" fontId="4" fillId="0" borderId="57" xfId="2" applyFont="1" applyBorder="1"/>
    <xf numFmtId="0" fontId="83" fillId="0" borderId="58" xfId="2" applyFont="1" applyBorder="1"/>
    <xf numFmtId="0" fontId="139" fillId="0" borderId="28" xfId="13" applyBorder="1" applyAlignment="1">
      <alignment horizontal="center"/>
    </xf>
    <xf numFmtId="0" fontId="8" fillId="0" borderId="57" xfId="2" applyFont="1" applyBorder="1"/>
    <xf numFmtId="0" fontId="4" fillId="0" borderId="59" xfId="2" applyBorder="1"/>
    <xf numFmtId="0" fontId="4" fillId="0" borderId="60" xfId="2" applyFill="1" applyBorder="1"/>
    <xf numFmtId="1" fontId="2" fillId="0" borderId="58" xfId="2" applyNumberFormat="1" applyFont="1" applyBorder="1" applyAlignment="1">
      <alignment horizontal="right" indent="2"/>
    </xf>
    <xf numFmtId="1" fontId="4" fillId="0" borderId="58" xfId="2" applyNumberFormat="1" applyFont="1" applyBorder="1" applyAlignment="1">
      <alignment horizontal="center"/>
    </xf>
    <xf numFmtId="0" fontId="4" fillId="0" borderId="56" xfId="2" applyFont="1" applyBorder="1"/>
    <xf numFmtId="0" fontId="8" fillId="0" borderId="28" xfId="2" applyFont="1" applyBorder="1"/>
    <xf numFmtId="0" fontId="4" fillId="0" borderId="28" xfId="2" applyFont="1" applyFill="1" applyBorder="1" applyAlignment="1">
      <alignment horizontal="left"/>
    </xf>
    <xf numFmtId="0" fontId="4" fillId="0" borderId="27" xfId="2" applyFont="1" applyBorder="1"/>
    <xf numFmtId="0" fontId="2" fillId="0" borderId="0" xfId="2" applyFont="1" applyAlignment="1">
      <alignment horizontal="right" indent="2"/>
    </xf>
    <xf numFmtId="0" fontId="4" fillId="0" borderId="37" xfId="2" applyFont="1" applyBorder="1"/>
    <xf numFmtId="1" fontId="45" fillId="0" borderId="58" xfId="2" applyNumberFormat="1" applyFont="1" applyBorder="1" applyAlignment="1">
      <alignment horizontal="right" indent="2"/>
    </xf>
    <xf numFmtId="0" fontId="45" fillId="0" borderId="0" xfId="2" applyFont="1" applyAlignment="1">
      <alignment horizontal="right" indent="2"/>
    </xf>
    <xf numFmtId="0" fontId="4" fillId="0" borderId="61" xfId="2" applyBorder="1"/>
    <xf numFmtId="0" fontId="4" fillId="0" borderId="62" xfId="2" applyFont="1" applyFill="1" applyBorder="1"/>
    <xf numFmtId="0" fontId="8" fillId="0" borderId="63" xfId="2" applyFont="1" applyBorder="1"/>
    <xf numFmtId="0" fontId="4" fillId="0" borderId="64" xfId="2" applyFont="1" applyBorder="1"/>
    <xf numFmtId="0" fontId="4" fillId="0" borderId="65" xfId="2" applyBorder="1"/>
    <xf numFmtId="0" fontId="4" fillId="0" borderId="64" xfId="2" applyBorder="1"/>
    <xf numFmtId="1" fontId="45" fillId="0" borderId="65" xfId="2" applyNumberFormat="1" applyFont="1" applyBorder="1" applyAlignment="1">
      <alignment horizontal="right" indent="2"/>
    </xf>
    <xf numFmtId="0" fontId="7" fillId="0" borderId="0" xfId="2" applyFont="1" applyAlignment="1"/>
    <xf numFmtId="3" fontId="4" fillId="0" borderId="39" xfId="2" applyNumberFormat="1" applyBorder="1" applyAlignment="1">
      <alignment horizontal="center"/>
    </xf>
    <xf numFmtId="0" fontId="141" fillId="0" borderId="0" xfId="2" applyFont="1"/>
    <xf numFmtId="0" fontId="9" fillId="0" borderId="0" xfId="2" applyFont="1"/>
    <xf numFmtId="1" fontId="9" fillId="0" borderId="39" xfId="2" applyNumberFormat="1" applyFont="1" applyBorder="1" applyAlignment="1">
      <alignment horizontal="right" indent="2"/>
    </xf>
    <xf numFmtId="0" fontId="9" fillId="0" borderId="39" xfId="2" applyFont="1" applyBorder="1" applyAlignment="1">
      <alignment horizontal="right" indent="2"/>
    </xf>
    <xf numFmtId="0" fontId="36" fillId="0" borderId="0" xfId="2" applyFont="1" applyBorder="1"/>
    <xf numFmtId="0" fontId="36" fillId="0" borderId="0" xfId="2" applyFont="1"/>
    <xf numFmtId="0" fontId="4" fillId="0" borderId="0" xfId="2" applyFont="1" applyFill="1" applyBorder="1"/>
    <xf numFmtId="0" fontId="7" fillId="0" borderId="0" xfId="2" applyFont="1" applyBorder="1" applyAlignment="1">
      <alignment horizontal="right" indent="1"/>
    </xf>
    <xf numFmtId="0" fontId="142" fillId="0" borderId="0" xfId="2" applyFont="1"/>
    <xf numFmtId="0" fontId="9" fillId="0" borderId="67" xfId="2" applyFont="1" applyBorder="1"/>
    <xf numFmtId="0" fontId="4" fillId="0" borderId="67" xfId="2" applyFont="1" applyBorder="1"/>
    <xf numFmtId="0" fontId="4" fillId="0" borderId="67" xfId="2" applyBorder="1"/>
    <xf numFmtId="3" fontId="4" fillId="0" borderId="0" xfId="11" applyNumberFormat="1"/>
    <xf numFmtId="0" fontId="4" fillId="0" borderId="0" xfId="11"/>
    <xf numFmtId="0" fontId="4" fillId="0" borderId="0" xfId="11" applyAlignment="1"/>
    <xf numFmtId="166" fontId="4" fillId="0" borderId="0" xfId="2" applyNumberFormat="1"/>
    <xf numFmtId="0" fontId="4" fillId="0" borderId="0" xfId="11" applyFill="1" applyBorder="1" applyAlignment="1"/>
    <xf numFmtId="0" fontId="4" fillId="0" borderId="0" xfId="2" applyAlignment="1">
      <alignment horizontal="center"/>
    </xf>
    <xf numFmtId="0" fontId="143" fillId="0" borderId="0" xfId="13" applyFont="1" applyFill="1" applyBorder="1" applyAlignment="1"/>
    <xf numFmtId="165" fontId="36" fillId="0" borderId="0" xfId="2" applyNumberFormat="1" applyFont="1"/>
    <xf numFmtId="1" fontId="4" fillId="0" borderId="0" xfId="2" applyNumberFormat="1" applyAlignment="1">
      <alignment horizontal="center"/>
    </xf>
    <xf numFmtId="0" fontId="8" fillId="0" borderId="0" xfId="2" applyFont="1"/>
    <xf numFmtId="49" fontId="144" fillId="0" borderId="1" xfId="3" applyNumberFormat="1" applyFont="1" applyBorder="1" applyAlignment="1">
      <alignment horizontal="right" vertical="center"/>
    </xf>
    <xf numFmtId="0" fontId="79" fillId="0" borderId="9" xfId="7" applyFont="1" applyBorder="1"/>
    <xf numFmtId="0" fontId="7" fillId="0" borderId="36" xfId="1" applyFont="1" applyBorder="1"/>
    <xf numFmtId="0" fontId="56" fillId="0" borderId="1" xfId="1" applyFont="1" applyBorder="1" applyAlignment="1"/>
    <xf numFmtId="0" fontId="22" fillId="0" borderId="1" xfId="1" applyFont="1" applyBorder="1" applyAlignment="1"/>
    <xf numFmtId="0" fontId="16" fillId="0" borderId="1" xfId="1" applyFont="1" applyBorder="1" applyAlignment="1">
      <alignment vertical="top"/>
    </xf>
    <xf numFmtId="1" fontId="10" fillId="0" borderId="1" xfId="11" applyNumberFormat="1" applyFont="1" applyBorder="1"/>
    <xf numFmtId="2" fontId="6" fillId="0" borderId="1" xfId="11" applyNumberFormat="1" applyFont="1" applyBorder="1"/>
    <xf numFmtId="2" fontId="40" fillId="0" borderId="1" xfId="11" applyNumberFormat="1" applyFont="1" applyBorder="1"/>
    <xf numFmtId="2" fontId="105" fillId="0" borderId="1" xfId="11" applyNumberFormat="1" applyFont="1" applyBorder="1" applyAlignment="1">
      <alignment horizontal="right"/>
    </xf>
    <xf numFmtId="2" fontId="105" fillId="0" borderId="1" xfId="11" applyNumberFormat="1" applyFont="1" applyBorder="1"/>
    <xf numFmtId="2" fontId="118" fillId="0" borderId="1" xfId="1" applyNumberFormat="1" applyFont="1" applyBorder="1" applyAlignment="1">
      <alignment horizontal="right"/>
    </xf>
    <xf numFmtId="2" fontId="118" fillId="0" borderId="1" xfId="11" applyNumberFormat="1" applyFont="1" applyBorder="1"/>
    <xf numFmtId="0" fontId="53" fillId="0" borderId="1" xfId="1" applyFont="1" applyBorder="1" applyAlignment="1"/>
    <xf numFmtId="0" fontId="74" fillId="3" borderId="1" xfId="4" applyFont="1" applyFill="1" applyBorder="1"/>
    <xf numFmtId="0" fontId="49" fillId="0" borderId="1" xfId="1" applyFont="1" applyBorder="1" applyAlignment="1">
      <alignment wrapText="1"/>
    </xf>
    <xf numFmtId="2" fontId="9" fillId="0" borderId="1" xfId="11" applyNumberFormat="1" applyFont="1" applyBorder="1"/>
    <xf numFmtId="0" fontId="15" fillId="0" borderId="1" xfId="1" applyFont="1" applyBorder="1" applyAlignment="1">
      <alignment vertical="top"/>
    </xf>
    <xf numFmtId="1" fontId="15" fillId="0" borderId="1" xfId="11" applyNumberFormat="1" applyFont="1" applyBorder="1"/>
    <xf numFmtId="2" fontId="15" fillId="0" borderId="1" xfId="11" applyNumberFormat="1" applyFont="1" applyBorder="1"/>
    <xf numFmtId="9" fontId="78" fillId="0" borderId="1" xfId="4" applyNumberFormat="1" applyFont="1" applyBorder="1"/>
    <xf numFmtId="0" fontId="63" fillId="0" borderId="1" xfId="1" applyFont="1" applyBorder="1" applyAlignment="1">
      <alignment horizontal="left"/>
    </xf>
    <xf numFmtId="0" fontId="40" fillId="0" borderId="1" xfId="1" applyFont="1" applyBorder="1"/>
    <xf numFmtId="166" fontId="14" fillId="0" borderId="1" xfId="1" applyNumberFormat="1" applyFont="1" applyBorder="1" applyAlignment="1">
      <alignment horizontal="right"/>
    </xf>
    <xf numFmtId="1" fontId="14" fillId="0" borderId="1" xfId="1" applyNumberFormat="1" applyFont="1" applyFill="1" applyBorder="1" applyAlignment="1">
      <alignment horizontal="right"/>
    </xf>
    <xf numFmtId="166" fontId="14" fillId="0" borderId="1" xfId="1" applyNumberFormat="1" applyFont="1" applyFill="1" applyBorder="1" applyAlignment="1">
      <alignment horizontal="right"/>
    </xf>
    <xf numFmtId="0" fontId="9" fillId="0" borderId="0" xfId="1" applyFont="1"/>
    <xf numFmtId="14" fontId="83" fillId="0" borderId="0" xfId="1" applyNumberFormat="1" applyFont="1" applyAlignment="1">
      <alignment horizontal="left"/>
    </xf>
    <xf numFmtId="0" fontId="150" fillId="0" borderId="0" xfId="1" applyFont="1" applyAlignment="1">
      <alignment horizontal="right"/>
    </xf>
    <xf numFmtId="0" fontId="151" fillId="0" borderId="0" xfId="1" applyFont="1"/>
    <xf numFmtId="165" fontId="4" fillId="0" borderId="0" xfId="14" applyNumberFormat="1" applyFont="1" applyFill="1" applyBorder="1" applyAlignment="1">
      <alignment wrapText="1"/>
    </xf>
    <xf numFmtId="168" fontId="4" fillId="0" borderId="0" xfId="1" applyNumberFormat="1"/>
    <xf numFmtId="168" fontId="14" fillId="0" borderId="0" xfId="1" applyNumberFormat="1" applyFont="1"/>
    <xf numFmtId="2" fontId="14" fillId="0" borderId="0" xfId="1" applyNumberFormat="1" applyFont="1"/>
    <xf numFmtId="2" fontId="14" fillId="0" borderId="0" xfId="14" applyNumberFormat="1" applyFont="1" applyFill="1" applyBorder="1" applyAlignment="1">
      <alignment wrapText="1"/>
    </xf>
    <xf numFmtId="0" fontId="27" fillId="0" borderId="0" xfId="1" applyFont="1"/>
    <xf numFmtId="0" fontId="53" fillId="0" borderId="0" xfId="1" applyFont="1"/>
    <xf numFmtId="0" fontId="140" fillId="0" borderId="0" xfId="1" applyFont="1"/>
    <xf numFmtId="0" fontId="153" fillId="0" borderId="0" xfId="1" applyFont="1"/>
    <xf numFmtId="0" fontId="83" fillId="0" borderId="0" xfId="1" applyFont="1"/>
    <xf numFmtId="0" fontId="151" fillId="0" borderId="1" xfId="1" applyFont="1" applyBorder="1"/>
    <xf numFmtId="0" fontId="83" fillId="0" borderId="1" xfId="1" applyFont="1" applyBorder="1"/>
    <xf numFmtId="0" fontId="155" fillId="0" borderId="1" xfId="1" applyFont="1" applyBorder="1" applyAlignment="1"/>
    <xf numFmtId="0" fontId="156" fillId="0" borderId="1" xfId="1" applyFont="1" applyBorder="1"/>
    <xf numFmtId="0" fontId="157" fillId="0" borderId="1" xfId="1" applyFont="1" applyBorder="1"/>
    <xf numFmtId="0" fontId="14" fillId="0" borderId="1" xfId="1" applyFont="1" applyBorder="1" applyAlignment="1">
      <alignment wrapText="1"/>
    </xf>
    <xf numFmtId="0" fontId="11" fillId="0" borderId="1" xfId="1" applyFont="1" applyBorder="1" applyAlignment="1">
      <alignment horizontal="right"/>
    </xf>
    <xf numFmtId="0" fontId="150" fillId="0" borderId="1" xfId="1" applyFont="1" applyBorder="1" applyAlignment="1">
      <alignment horizontal="right"/>
    </xf>
    <xf numFmtId="0" fontId="16" fillId="0" borderId="1" xfId="1" applyFont="1" applyBorder="1" applyAlignment="1">
      <alignment horizontal="left" indent="1"/>
    </xf>
    <xf numFmtId="0" fontId="158" fillId="0" borderId="1" xfId="1" applyFont="1" applyBorder="1"/>
    <xf numFmtId="0" fontId="159" fillId="0" borderId="1" xfId="1" applyFont="1" applyBorder="1"/>
    <xf numFmtId="0" fontId="160" fillId="0" borderId="1" xfId="1" applyFont="1" applyBorder="1"/>
    <xf numFmtId="2" fontId="4" fillId="0" borderId="1" xfId="14" applyNumberFormat="1" applyFont="1" applyFill="1" applyBorder="1" applyAlignment="1">
      <alignment wrapText="1"/>
    </xf>
    <xf numFmtId="168" fontId="4" fillId="0" borderId="1" xfId="1" applyNumberFormat="1" applyBorder="1"/>
    <xf numFmtId="0" fontId="109" fillId="0" borderId="1" xfId="1" applyFont="1" applyBorder="1" applyAlignment="1">
      <alignment horizontal="left" indent="1"/>
    </xf>
    <xf numFmtId="0" fontId="161" fillId="0" borderId="1" xfId="1" applyFont="1" applyBorder="1" applyAlignment="1">
      <alignment horizontal="left" indent="1"/>
    </xf>
    <xf numFmtId="0" fontId="53" fillId="0" borderId="1" xfId="1" applyFont="1" applyBorder="1"/>
    <xf numFmtId="0" fontId="27" fillId="0" borderId="1" xfId="1" applyFont="1" applyBorder="1"/>
    <xf numFmtId="0" fontId="38" fillId="0" borderId="1" xfId="1" applyFont="1" applyBorder="1"/>
    <xf numFmtId="2" fontId="14" fillId="0" borderId="1" xfId="14" applyNumberFormat="1" applyFont="1" applyFill="1" applyBorder="1" applyAlignment="1">
      <alignment wrapText="1"/>
    </xf>
    <xf numFmtId="0" fontId="164" fillId="0" borderId="1" xfId="1" applyFont="1" applyBorder="1" applyAlignment="1">
      <alignment horizontal="left" indent="1"/>
    </xf>
    <xf numFmtId="0" fontId="165" fillId="0" borderId="1" xfId="1" applyFont="1" applyBorder="1" applyAlignment="1">
      <alignment horizontal="left" indent="1"/>
    </xf>
    <xf numFmtId="0" fontId="153" fillId="0" borderId="1" xfId="1" applyFont="1" applyBorder="1"/>
    <xf numFmtId="0" fontId="140" fillId="0" borderId="1" xfId="1" applyFont="1" applyBorder="1"/>
    <xf numFmtId="0" fontId="167" fillId="0" borderId="1" xfId="1" applyFont="1" applyBorder="1"/>
    <xf numFmtId="0" fontId="168" fillId="0" borderId="1" xfId="1" applyFont="1" applyBorder="1"/>
    <xf numFmtId="0" fontId="169" fillId="0" borderId="1" xfId="1" applyFont="1" applyBorder="1"/>
    <xf numFmtId="0" fontId="166" fillId="0" borderId="1" xfId="1" applyFont="1" applyBorder="1"/>
    <xf numFmtId="0" fontId="170" fillId="0" borderId="1" xfId="1" applyFont="1" applyBorder="1"/>
    <xf numFmtId="0" fontId="171" fillId="0" borderId="1" xfId="1" applyFont="1" applyBorder="1"/>
    <xf numFmtId="0" fontId="172" fillId="0" borderId="1" xfId="1" applyFont="1" applyBorder="1"/>
    <xf numFmtId="0" fontId="173" fillId="0" borderId="1" xfId="1" applyFont="1" applyBorder="1"/>
    <xf numFmtId="0" fontId="174" fillId="0" borderId="1" xfId="1" applyFont="1" applyBorder="1"/>
    <xf numFmtId="0" fontId="102" fillId="0" borderId="1" xfId="1" applyFont="1" applyBorder="1"/>
    <xf numFmtId="10" fontId="4" fillId="0" borderId="1" xfId="1" applyNumberFormat="1" applyBorder="1"/>
    <xf numFmtId="2" fontId="49" fillId="0" borderId="1" xfId="5" applyNumberFormat="1" applyFont="1" applyBorder="1" applyAlignment="1" applyProtection="1">
      <alignment horizontal="left" indent="1"/>
    </xf>
    <xf numFmtId="0" fontId="175" fillId="0" borderId="1" xfId="1" applyFont="1" applyBorder="1"/>
    <xf numFmtId="0" fontId="177" fillId="0" borderId="1" xfId="1" applyFont="1" applyBorder="1"/>
    <xf numFmtId="9" fontId="7" fillId="0" borderId="1" xfId="1" applyNumberFormat="1" applyFont="1" applyBorder="1"/>
    <xf numFmtId="2" fontId="71" fillId="0" borderId="1" xfId="1" applyNumberFormat="1" applyFont="1" applyBorder="1"/>
    <xf numFmtId="0" fontId="9" fillId="0" borderId="1" xfId="1" applyFont="1" applyBorder="1" applyAlignment="1">
      <alignment horizontal="left" indent="1"/>
    </xf>
    <xf numFmtId="9" fontId="4" fillId="0" borderId="1" xfId="1" applyNumberFormat="1" applyFont="1" applyBorder="1"/>
    <xf numFmtId="0" fontId="38" fillId="0" borderId="1" xfId="1" applyFont="1" applyBorder="1" applyAlignment="1">
      <alignment horizontal="left" indent="1"/>
    </xf>
    <xf numFmtId="0" fontId="8" fillId="0" borderId="1" xfId="1" applyFont="1" applyBorder="1" applyAlignment="1">
      <alignment horizontal="left" indent="1"/>
    </xf>
    <xf numFmtId="1" fontId="12" fillId="0" borderId="1" xfId="1" applyNumberFormat="1" applyFont="1" applyBorder="1"/>
    <xf numFmtId="0" fontId="6" fillId="0" borderId="1" xfId="1" applyFont="1" applyBorder="1" applyAlignment="1">
      <alignment horizontal="left" indent="1"/>
    </xf>
    <xf numFmtId="0" fontId="53" fillId="0" borderId="1" xfId="1" applyFont="1" applyBorder="1" applyAlignment="1">
      <alignment horizontal="left" indent="1"/>
    </xf>
    <xf numFmtId="1" fontId="8" fillId="0" borderId="1" xfId="1" applyNumberFormat="1" applyFont="1" applyBorder="1"/>
    <xf numFmtId="0" fontId="27" fillId="0" borderId="1" xfId="1" applyFont="1" applyBorder="1" applyAlignment="1">
      <alignment horizontal="left" indent="1"/>
    </xf>
    <xf numFmtId="1" fontId="14" fillId="0" borderId="1" xfId="1" applyNumberFormat="1" applyFont="1" applyBorder="1" applyAlignment="1">
      <alignment horizontal="right"/>
    </xf>
    <xf numFmtId="0" fontId="4" fillId="0" borderId="1" xfId="1" applyBorder="1" applyAlignment="1"/>
    <xf numFmtId="0" fontId="58" fillId="2" borderId="0" xfId="15" applyFont="1" applyFill="1" applyBorder="1" applyAlignment="1" applyProtection="1">
      <alignment horizontal="left"/>
    </xf>
    <xf numFmtId="0" fontId="4" fillId="0" borderId="0" xfId="16"/>
    <xf numFmtId="0" fontId="14" fillId="0" borderId="0" xfId="16" applyFont="1"/>
    <xf numFmtId="0" fontId="9" fillId="0" borderId="39" xfId="16" applyFont="1" applyBorder="1"/>
    <xf numFmtId="0" fontId="9" fillId="0" borderId="39" xfId="16" applyFont="1" applyBorder="1" applyAlignment="1">
      <alignment horizontal="right"/>
    </xf>
    <xf numFmtId="0" fontId="15" fillId="0" borderId="39" xfId="16" applyFont="1" applyBorder="1" applyAlignment="1">
      <alignment horizontal="center"/>
    </xf>
    <xf numFmtId="0" fontId="15" fillId="0" borderId="39" xfId="16" applyFont="1" applyBorder="1" applyAlignment="1">
      <alignment horizontal="left"/>
    </xf>
    <xf numFmtId="0" fontId="4" fillId="0" borderId="27" xfId="16" applyFont="1" applyBorder="1"/>
    <xf numFmtId="165" fontId="4" fillId="0" borderId="39" xfId="16" applyNumberFormat="1" applyBorder="1"/>
    <xf numFmtId="165" fontId="4" fillId="0" borderId="29" xfId="16" applyNumberFormat="1" applyFont="1" applyBorder="1" applyAlignment="1">
      <alignment horizontal="center"/>
    </xf>
    <xf numFmtId="167" fontId="14" fillId="0" borderId="29" xfId="16" applyNumberFormat="1" applyFont="1" applyBorder="1" applyAlignment="1">
      <alignment horizontal="center"/>
    </xf>
    <xf numFmtId="14" fontId="14" fillId="0" borderId="39" xfId="16" applyNumberFormat="1" applyFont="1" applyBorder="1" applyAlignment="1">
      <alignment horizontal="left"/>
    </xf>
    <xf numFmtId="0" fontId="4" fillId="0" borderId="39" xfId="16" applyBorder="1"/>
    <xf numFmtId="0" fontId="4" fillId="0" borderId="29" xfId="16" applyFont="1" applyBorder="1" applyAlignment="1">
      <alignment horizontal="center"/>
    </xf>
    <xf numFmtId="165" fontId="4" fillId="0" borderId="39" xfId="16" applyNumberFormat="1" applyFont="1" applyFill="1" applyBorder="1"/>
    <xf numFmtId="165" fontId="4" fillId="0" borderId="29" xfId="16" applyNumberFormat="1" applyFont="1" applyFill="1" applyBorder="1" applyAlignment="1">
      <alignment horizontal="center"/>
    </xf>
    <xf numFmtId="167" fontId="14" fillId="0" borderId="29" xfId="16" applyNumberFormat="1" applyFont="1" applyFill="1" applyBorder="1" applyAlignment="1">
      <alignment horizontal="center"/>
    </xf>
    <xf numFmtId="14" fontId="14" fillId="0" borderId="39" xfId="16" applyNumberFormat="1" applyFont="1" applyFill="1" applyBorder="1" applyAlignment="1">
      <alignment horizontal="left"/>
    </xf>
    <xf numFmtId="165" fontId="174" fillId="0" borderId="39" xfId="16" applyNumberFormat="1" applyFont="1" applyBorder="1"/>
    <xf numFmtId="165" fontId="4" fillId="0" borderId="39" xfId="16" applyNumberFormat="1" applyFont="1" applyBorder="1"/>
    <xf numFmtId="0" fontId="8" fillId="0" borderId="0" xfId="16" applyFont="1"/>
    <xf numFmtId="0" fontId="4" fillId="0" borderId="0" xfId="1" applyAlignment="1"/>
    <xf numFmtId="0" fontId="41" fillId="0" borderId="0" xfId="1" applyFont="1"/>
    <xf numFmtId="0" fontId="8" fillId="0" borderId="0" xfId="1" applyFont="1" applyAlignment="1">
      <alignment horizontal="right"/>
    </xf>
    <xf numFmtId="0" fontId="16" fillId="0" borderId="0" xfId="1" applyFont="1"/>
    <xf numFmtId="1" fontId="45" fillId="0" borderId="0" xfId="1" applyNumberFormat="1" applyFont="1"/>
    <xf numFmtId="2" fontId="45" fillId="0" borderId="0" xfId="1" applyNumberFormat="1" applyFont="1"/>
    <xf numFmtId="0" fontId="53" fillId="0" borderId="0" xfId="1" applyFont="1" applyAlignment="1">
      <alignment horizontal="left"/>
    </xf>
    <xf numFmtId="2" fontId="8" fillId="0" borderId="0" xfId="1" applyNumberFormat="1" applyFont="1" applyAlignment="1"/>
    <xf numFmtId="2" fontId="8" fillId="0" borderId="0" xfId="14" applyNumberFormat="1" applyFont="1" applyFill="1" applyBorder="1" applyAlignment="1">
      <alignment wrapText="1"/>
    </xf>
    <xf numFmtId="0" fontId="14" fillId="0" borderId="0" xfId="1" applyFont="1" applyAlignment="1">
      <alignment horizontal="right"/>
    </xf>
    <xf numFmtId="0" fontId="14" fillId="0" borderId="0" xfId="1" applyFont="1" applyAlignment="1">
      <alignment horizontal="center"/>
    </xf>
    <xf numFmtId="0" fontId="63" fillId="0" borderId="0" xfId="1" applyFont="1"/>
    <xf numFmtId="2" fontId="39" fillId="0" borderId="0" xfId="1" applyNumberFormat="1" applyFont="1"/>
    <xf numFmtId="1" fontId="45" fillId="0" borderId="0" xfId="1" applyNumberFormat="1" applyFont="1" applyAlignment="1">
      <alignment horizontal="center"/>
    </xf>
    <xf numFmtId="2" fontId="14" fillId="0" borderId="0" xfId="1" applyNumberFormat="1" applyFont="1" applyFill="1" applyBorder="1" applyAlignment="1" applyProtection="1">
      <alignment horizontal="right" vertical="center" indent="1"/>
      <protection locked="0"/>
    </xf>
    <xf numFmtId="2" fontId="8" fillId="0" borderId="0" xfId="1" applyNumberFormat="1" applyFont="1"/>
    <xf numFmtId="2" fontId="14" fillId="0" borderId="0" xfId="1" applyNumberFormat="1" applyFont="1" applyAlignment="1">
      <alignment horizontal="right" indent="1"/>
    </xf>
    <xf numFmtId="2" fontId="40" fillId="0" borderId="0" xfId="1" applyNumberFormat="1" applyFont="1"/>
    <xf numFmtId="0" fontId="182" fillId="0" borderId="0" xfId="1" applyFont="1"/>
    <xf numFmtId="0" fontId="4" fillId="0" borderId="12" xfId="1" applyFont="1" applyBorder="1" applyAlignment="1">
      <alignment wrapText="1"/>
    </xf>
    <xf numFmtId="0" fontId="4" fillId="0" borderId="24" xfId="1" applyBorder="1" applyAlignment="1">
      <alignment wrapText="1"/>
    </xf>
    <xf numFmtId="0" fontId="4" fillId="0" borderId="13" xfId="1" applyBorder="1" applyAlignment="1">
      <alignment wrapText="1"/>
    </xf>
    <xf numFmtId="0" fontId="27" fillId="0" borderId="5" xfId="1" applyFont="1" applyBorder="1" applyAlignment="1"/>
    <xf numFmtId="0" fontId="41" fillId="0" borderId="22" xfId="1" applyFont="1" applyBorder="1" applyAlignment="1">
      <alignment vertical="top"/>
    </xf>
    <xf numFmtId="0" fontId="4" fillId="0" borderId="23" xfId="1" applyBorder="1" applyAlignment="1"/>
    <xf numFmtId="0" fontId="8" fillId="0" borderId="1" xfId="1" applyFont="1" applyBorder="1" applyAlignment="1">
      <alignment vertical="top" wrapText="1"/>
    </xf>
    <xf numFmtId="0" fontId="9" fillId="0" borderId="12" xfId="1" applyFont="1" applyBorder="1" applyAlignment="1">
      <alignment vertical="top"/>
    </xf>
    <xf numFmtId="0" fontId="4" fillId="0" borderId="13" xfId="1" applyFont="1" applyBorder="1" applyAlignment="1">
      <alignment vertical="top"/>
    </xf>
    <xf numFmtId="0" fontId="4" fillId="0" borderId="13" xfId="1" applyFont="1" applyBorder="1" applyAlignment="1"/>
    <xf numFmtId="0" fontId="14" fillId="0" borderId="27" xfId="1" applyFont="1" applyBorder="1" applyAlignment="1">
      <alignment vertical="top" wrapText="1"/>
    </xf>
    <xf numFmtId="0" fontId="38" fillId="0" borderId="28" xfId="1" applyFont="1" applyBorder="1" applyAlignment="1">
      <alignment vertical="top" wrapText="1"/>
    </xf>
    <xf numFmtId="0" fontId="38" fillId="0" borderId="29" xfId="1" applyFont="1" applyBorder="1" applyAlignment="1">
      <alignment vertical="top" wrapText="1"/>
    </xf>
    <xf numFmtId="0" fontId="9" fillId="0" borderId="20" xfId="1" applyFont="1" applyBorder="1" applyAlignment="1">
      <alignment vertical="top"/>
    </xf>
    <xf numFmtId="0" fontId="4" fillId="0" borderId="21" xfId="1" applyBorder="1" applyAlignment="1"/>
    <xf numFmtId="0" fontId="9" fillId="0" borderId="12" xfId="1" applyFont="1" applyBorder="1" applyAlignment="1">
      <alignment wrapText="1"/>
    </xf>
    <xf numFmtId="0" fontId="4" fillId="0" borderId="13" xfId="1" applyFont="1" applyBorder="1" applyAlignment="1">
      <alignment wrapText="1"/>
    </xf>
    <xf numFmtId="0" fontId="20" fillId="0" borderId="3" xfId="1" applyFont="1" applyBorder="1" applyAlignment="1">
      <alignment horizontal="left"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4" fillId="0" borderId="1" xfId="1" applyFont="1" applyBorder="1" applyAlignment="1">
      <alignment vertical="top" wrapText="1"/>
    </xf>
    <xf numFmtId="0" fontId="22" fillId="0" borderId="5" xfId="1" applyFont="1" applyBorder="1" applyAlignment="1"/>
    <xf numFmtId="0" fontId="12" fillId="0" borderId="5" xfId="1" applyFont="1" applyBorder="1" applyAlignment="1"/>
    <xf numFmtId="0" fontId="23" fillId="0" borderId="5" xfId="1" applyFont="1" applyBorder="1" applyAlignment="1"/>
    <xf numFmtId="0" fontId="10" fillId="0" borderId="5" xfId="1" applyFont="1" applyBorder="1" applyAlignment="1"/>
    <xf numFmtId="0" fontId="22" fillId="0" borderId="6" xfId="1" applyNumberFormat="1" applyFont="1" applyBorder="1" applyAlignment="1">
      <alignment horizontal="left"/>
    </xf>
    <xf numFmtId="49" fontId="22" fillId="0" borderId="6" xfId="1" applyNumberFormat="1" applyFont="1" applyBorder="1" applyAlignment="1">
      <alignment horizontal="left"/>
    </xf>
    <xf numFmtId="0" fontId="27" fillId="0" borderId="6" xfId="1" applyFont="1" applyBorder="1" applyAlignment="1">
      <alignment horizontal="left"/>
    </xf>
    <xf numFmtId="0" fontId="22" fillId="0" borderId="6" xfId="1" applyFont="1" applyBorder="1" applyAlignment="1"/>
    <xf numFmtId="0" fontId="12" fillId="0" borderId="6" xfId="1" applyFont="1" applyBorder="1" applyAlignment="1"/>
    <xf numFmtId="0" fontId="27" fillId="0" borderId="6" xfId="1" applyFont="1" applyBorder="1" applyAlignment="1"/>
    <xf numFmtId="0" fontId="4" fillId="0" borderId="6" xfId="1" applyFont="1" applyBorder="1" applyAlignment="1"/>
    <xf numFmtId="0" fontId="4" fillId="0" borderId="6" xfId="1" applyBorder="1" applyAlignment="1"/>
    <xf numFmtId="0" fontId="27" fillId="0" borderId="7" xfId="1" applyFont="1" applyBorder="1" applyAlignment="1">
      <alignment horizontal="left"/>
    </xf>
    <xf numFmtId="0" fontId="4" fillId="0" borderId="8" xfId="1" applyBorder="1" applyAlignment="1">
      <alignment horizontal="left"/>
    </xf>
    <xf numFmtId="0" fontId="61" fillId="0" borderId="5" xfId="1" applyFont="1" applyBorder="1" applyAlignment="1"/>
    <xf numFmtId="0" fontId="5" fillId="0" borderId="5" xfId="1" applyFont="1" applyBorder="1" applyAlignment="1"/>
    <xf numFmtId="0" fontId="1" fillId="0" borderId="1" xfId="10" applyFont="1" applyBorder="1" applyAlignment="1"/>
    <xf numFmtId="0" fontId="4" fillId="0" borderId="1" xfId="1" applyFont="1" applyBorder="1" applyAlignment="1"/>
    <xf numFmtId="0" fontId="49" fillId="0" borderId="1" xfId="1" applyFont="1" applyBorder="1" applyAlignment="1"/>
    <xf numFmtId="0" fontId="8" fillId="0" borderId="1" xfId="1" applyFont="1" applyBorder="1" applyAlignment="1"/>
    <xf numFmtId="0" fontId="27" fillId="0" borderId="1" xfId="1" applyFont="1" applyBorder="1" applyAlignment="1"/>
    <xf numFmtId="0" fontId="85" fillId="0" borderId="1" xfId="4" applyFont="1" applyBorder="1" applyAlignment="1"/>
    <xf numFmtId="0" fontId="4" fillId="0" borderId="0" xfId="11" applyAlignment="1"/>
    <xf numFmtId="0" fontId="4" fillId="0" borderId="0" xfId="2" applyFont="1" applyAlignment="1"/>
    <xf numFmtId="0" fontId="4" fillId="0" borderId="0" xfId="2" applyAlignment="1"/>
    <xf numFmtId="0" fontId="9" fillId="0" borderId="0" xfId="2" applyFont="1" applyAlignment="1">
      <alignment horizontal="right" indent="1"/>
    </xf>
    <xf numFmtId="0" fontId="4" fillId="0" borderId="0" xfId="2" applyAlignment="1">
      <alignment horizontal="right" indent="1"/>
    </xf>
    <xf numFmtId="0" fontId="4" fillId="0" borderId="66" xfId="2" applyBorder="1" applyAlignment="1">
      <alignment horizontal="right" indent="1"/>
    </xf>
    <xf numFmtId="0" fontId="9" fillId="0" borderId="0" xfId="2" applyFont="1" applyBorder="1" applyAlignment="1">
      <alignment horizontal="right" indent="1"/>
    </xf>
    <xf numFmtId="0" fontId="4" fillId="0" borderId="0" xfId="2" applyBorder="1" applyAlignment="1">
      <alignment horizontal="right" indent="1"/>
    </xf>
    <xf numFmtId="0" fontId="4" fillId="0" borderId="67" xfId="2" applyFont="1" applyBorder="1" applyAlignment="1"/>
    <xf numFmtId="0" fontId="4" fillId="0" borderId="67" xfId="2" applyBorder="1" applyAlignment="1"/>
    <xf numFmtId="0" fontId="15" fillId="0" borderId="0" xfId="2" applyFont="1" applyAlignment="1"/>
    <xf numFmtId="0" fontId="14" fillId="0" borderId="0" xfId="2" applyFont="1" applyAlignment="1"/>
    <xf numFmtId="0" fontId="9" fillId="0" borderId="49" xfId="2" applyFont="1" applyBorder="1" applyAlignment="1">
      <alignment horizontal="left" indent="1"/>
    </xf>
    <xf numFmtId="0" fontId="9" fillId="0" borderId="2" xfId="2" applyFont="1" applyBorder="1" applyAlignment="1">
      <alignment horizontal="left" indent="1"/>
    </xf>
    <xf numFmtId="14" fontId="9" fillId="0" borderId="51" xfId="2" applyNumberFormat="1" applyFont="1" applyBorder="1" applyAlignment="1"/>
    <xf numFmtId="0" fontId="9" fillId="0" borderId="51" xfId="2" applyFont="1" applyBorder="1" applyAlignment="1"/>
    <xf numFmtId="14" fontId="9" fillId="0" borderId="52" xfId="2" applyNumberFormat="1" applyFont="1" applyBorder="1" applyAlignment="1"/>
    <xf numFmtId="0" fontId="9" fillId="0" borderId="52" xfId="2" applyFont="1" applyBorder="1" applyAlignment="1"/>
    <xf numFmtId="0" fontId="4" fillId="0" borderId="31" xfId="2" applyBorder="1" applyAlignment="1">
      <alignment wrapText="1"/>
    </xf>
    <xf numFmtId="0" fontId="0" fillId="0" borderId="3" xfId="0" applyBorder="1" applyAlignment="1">
      <alignment wrapText="1"/>
    </xf>
    <xf numFmtId="0" fontId="0" fillId="0" borderId="4" xfId="0" applyBorder="1" applyAlignment="1">
      <alignment wrapText="1"/>
    </xf>
    <xf numFmtId="0" fontId="4" fillId="0" borderId="0" xfId="2" applyFont="1" applyFill="1" applyBorder="1" applyAlignment="1"/>
    <xf numFmtId="0" fontId="4" fillId="0" borderId="0" xfId="2" applyFill="1" applyBorder="1" applyAlignment="1"/>
    <xf numFmtId="0" fontId="9" fillId="0" borderId="53" xfId="2" applyFont="1" applyBorder="1" applyAlignment="1"/>
    <xf numFmtId="0" fontId="4" fillId="0" borderId="54" xfId="2" applyBorder="1" applyAlignment="1"/>
    <xf numFmtId="0" fontId="0" fillId="0" borderId="1" xfId="1" applyFont="1" applyBorder="1" applyAlignment="1"/>
    <xf numFmtId="0" fontId="61" fillId="0" borderId="1" xfId="1" applyFont="1" applyBorder="1" applyAlignment="1"/>
    <xf numFmtId="0" fontId="145" fillId="0" borderId="1" xfId="1" applyFont="1" applyBorder="1" applyAlignment="1"/>
    <xf numFmtId="0" fontId="146" fillId="0" borderId="1" xfId="4" applyFont="1" applyBorder="1" applyAlignment="1"/>
    <xf numFmtId="0" fontId="22" fillId="0" borderId="1" xfId="1" applyFont="1" applyBorder="1" applyAlignment="1"/>
    <xf numFmtId="0" fontId="147" fillId="0" borderId="1" xfId="1" applyFont="1" applyBorder="1" applyAlignment="1"/>
    <xf numFmtId="0" fontId="54" fillId="0" borderId="1" xfId="4" applyBorder="1" applyAlignment="1"/>
    <xf numFmtId="0" fontId="56" fillId="0" borderId="1" xfId="1" applyFont="1" applyBorder="1" applyAlignment="1"/>
    <xf numFmtId="0" fontId="54" fillId="0" borderId="1" xfId="4" applyFont="1" applyBorder="1" applyAlignment="1"/>
    <xf numFmtId="0" fontId="154" fillId="0" borderId="31" xfId="1" applyFont="1" applyBorder="1" applyAlignment="1"/>
    <xf numFmtId="0" fontId="135" fillId="0" borderId="3" xfId="1" applyFont="1" applyBorder="1" applyAlignment="1"/>
    <xf numFmtId="0" fontId="135" fillId="0" borderId="4" xfId="1" applyFont="1" applyBorder="1" applyAlignment="1"/>
    <xf numFmtId="49" fontId="4" fillId="0" borderId="1" xfId="1" applyNumberFormat="1" applyFont="1" applyBorder="1" applyAlignment="1"/>
    <xf numFmtId="49" fontId="7" fillId="0" borderId="1" xfId="1" applyNumberFormat="1" applyFont="1" applyBorder="1" applyAlignment="1"/>
    <xf numFmtId="0" fontId="23" fillId="0" borderId="1" xfId="1" applyFont="1" applyBorder="1" applyAlignment="1">
      <alignment wrapText="1"/>
    </xf>
    <xf numFmtId="0" fontId="14" fillId="0" borderId="1" xfId="1" applyFont="1" applyBorder="1" applyAlignment="1">
      <alignment wrapText="1"/>
    </xf>
    <xf numFmtId="0" fontId="14" fillId="0" borderId="1" xfId="1" applyFont="1" applyBorder="1" applyAlignment="1">
      <alignment horizontal="left"/>
    </xf>
    <xf numFmtId="0" fontId="4" fillId="0" borderId="1" xfId="1" applyBorder="1" applyAlignment="1"/>
    <xf numFmtId="0" fontId="4" fillId="0" borderId="0" xfId="16" applyFont="1" applyAlignment="1"/>
    <xf numFmtId="0" fontId="4" fillId="0" borderId="0" xfId="16" applyAlignment="1"/>
    <xf numFmtId="0" fontId="4" fillId="0" borderId="0" xfId="1" applyAlignment="1"/>
    <xf numFmtId="0" fontId="8" fillId="0" borderId="0" xfId="16" applyFont="1" applyAlignment="1">
      <alignment wrapText="1"/>
    </xf>
    <xf numFmtId="0" fontId="8" fillId="0" borderId="0" xfId="1" applyFont="1" applyAlignment="1">
      <alignment wrapText="1"/>
    </xf>
    <xf numFmtId="0" fontId="22" fillId="0" borderId="68" xfId="16" applyFont="1" applyBorder="1" applyAlignment="1"/>
    <xf numFmtId="0" fontId="180" fillId="0" borderId="68" xfId="16" applyFont="1" applyBorder="1" applyAlignment="1"/>
    <xf numFmtId="0" fontId="4" fillId="0" borderId="69" xfId="16" applyFont="1" applyFill="1" applyBorder="1" applyAlignment="1">
      <alignment wrapText="1"/>
    </xf>
    <xf numFmtId="0" fontId="4" fillId="0" borderId="69" xfId="1" applyFill="1" applyBorder="1" applyAlignment="1">
      <alignment wrapText="1"/>
    </xf>
    <xf numFmtId="0" fontId="109" fillId="0" borderId="70" xfId="16" applyFont="1" applyBorder="1" applyAlignment="1"/>
    <xf numFmtId="0" fontId="14" fillId="0" borderId="70" xfId="16" applyFont="1" applyBorder="1" applyAlignment="1"/>
    <xf numFmtId="0" fontId="23" fillId="0" borderId="0" xfId="1" applyFont="1" applyAlignment="1"/>
    <xf numFmtId="0" fontId="10" fillId="0" borderId="0" xfId="1" applyFont="1" applyAlignment="1"/>
    <xf numFmtId="0" fontId="182" fillId="0" borderId="0" xfId="1" applyFont="1" applyAlignment="1">
      <alignment vertical="top" wrapText="1"/>
    </xf>
    <xf numFmtId="0" fontId="182" fillId="0" borderId="0" xfId="1" applyFont="1" applyAlignment="1"/>
  </cellXfs>
  <cellStyles count="17">
    <cellStyle name="Hyperlink" xfId="13" builtinId="8"/>
    <cellStyle name="Hyperlink 2" xfId="5" xr:uid="{00000000-0005-0000-0000-000001000000}"/>
    <cellStyle name="Hyperlink 4" xfId="9" xr:uid="{00000000-0005-0000-0000-000002000000}"/>
    <cellStyle name="Hyperlink_Multi23_Sprint750_ThirdPass_090527" xfId="15" xr:uid="{00000000-0005-0000-0000-000003000000}"/>
    <cellStyle name="Hyperlink_Sailing_Weight_OMR-Texel" xfId="12" xr:uid="{00000000-0005-0000-0000-000004000000}"/>
    <cellStyle name="Normal" xfId="0" builtinId="0"/>
    <cellStyle name="Normal 2" xfId="4" xr:uid="{00000000-0005-0000-0000-000006000000}"/>
    <cellStyle name="Normal 2 2" xfId="1" xr:uid="{00000000-0005-0000-0000-000007000000}"/>
    <cellStyle name="Normal 4" xfId="11" xr:uid="{00000000-0005-0000-0000-000008000000}"/>
    <cellStyle name="Normal 6" xfId="6" xr:uid="{00000000-0005-0000-0000-000009000000}"/>
    <cellStyle name="Normal 6 2" xfId="8" xr:uid="{00000000-0005-0000-0000-00000A000000}"/>
    <cellStyle name="Normal 8" xfId="7" xr:uid="{00000000-0005-0000-0000-00000B000000}"/>
    <cellStyle name="Normal 8 2" xfId="10" xr:uid="{00000000-0005-0000-0000-00000C000000}"/>
    <cellStyle name="Normal_BAMA_INV_FORM_090402" xfId="2" xr:uid="{00000000-0005-0000-0000-00000D000000}"/>
    <cellStyle name="Normal_Mast Circumference Texel OMR 2" xfId="16" xr:uid="{00000000-0005-0000-0000-00000E000000}"/>
    <cellStyle name="Normal_Sheet1" xfId="3" xr:uid="{00000000-0005-0000-0000-00000F000000}"/>
    <cellStyle name="Normal_Sheet1_2009_Texel_Dash750_sail_Spin+Screacher_090919" xfId="14"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6</xdr:col>
      <xdr:colOff>1016000</xdr:colOff>
      <xdr:row>4</xdr:row>
      <xdr:rowOff>161925</xdr:rowOff>
    </xdr:from>
    <xdr:to>
      <xdr:col>7</xdr:col>
      <xdr:colOff>408699</xdr:colOff>
      <xdr:row>8</xdr:row>
      <xdr:rowOff>90842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bwMode="auto">
        <a:xfrm>
          <a:off x="6819900" y="930275"/>
          <a:ext cx="1196099" cy="62741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7</xdr:col>
      <xdr:colOff>523875</xdr:colOff>
      <xdr:row>33</xdr:row>
      <xdr:rowOff>102394</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59"/>
        <a:stretch/>
      </xdr:blipFill>
      <xdr:spPr bwMode="auto">
        <a:xfrm>
          <a:off x="2324100" y="571500"/>
          <a:ext cx="2524125" cy="489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1327150</xdr:colOff>
      <xdr:row>4</xdr:row>
      <xdr:rowOff>168275</xdr:rowOff>
    </xdr:from>
    <xdr:to>
      <xdr:col>7</xdr:col>
      <xdr:colOff>719849</xdr:colOff>
      <xdr:row>8</xdr:row>
      <xdr:rowOff>97192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bwMode="auto">
        <a:xfrm>
          <a:off x="7296150" y="911225"/>
          <a:ext cx="1196099" cy="62741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140543</xdr:colOff>
      <xdr:row>71</xdr:row>
      <xdr:rowOff>40574</xdr:rowOff>
    </xdr:from>
    <xdr:to>
      <xdr:col>15</xdr:col>
      <xdr:colOff>298451</xdr:colOff>
      <xdr:row>77</xdr:row>
      <xdr:rowOff>124700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543" y="10791124"/>
          <a:ext cx="6584108" cy="1189026"/>
        </a:xfrm>
        <a:prstGeom prst="rect">
          <a:avLst/>
        </a:prstGeom>
      </xdr:spPr>
    </xdr:pic>
    <xdr:clientData/>
  </xdr:twoCellAnchor>
  <xdr:twoCellAnchor editAs="oneCell">
    <xdr:from>
      <xdr:col>12</xdr:col>
      <xdr:colOff>158750</xdr:colOff>
      <xdr:row>6</xdr:row>
      <xdr:rowOff>38100</xdr:rowOff>
    </xdr:from>
    <xdr:to>
      <xdr:col>18</xdr:col>
      <xdr:colOff>12700</xdr:colOff>
      <xdr:row>70</xdr:row>
      <xdr:rowOff>25400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25950" y="1009650"/>
          <a:ext cx="4006850" cy="962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51</xdr:row>
      <xdr:rowOff>19050</xdr:rowOff>
    </xdr:from>
    <xdr:to>
      <xdr:col>16</xdr:col>
      <xdr:colOff>47625</xdr:colOff>
      <xdr:row>57</xdr:row>
      <xdr:rowOff>28631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182100"/>
          <a:ext cx="7261225" cy="1114481"/>
        </a:xfrm>
        <a:prstGeom prst="rect">
          <a:avLst/>
        </a:prstGeom>
      </xdr:spPr>
    </xdr:pic>
    <xdr:clientData/>
  </xdr:twoCellAnchor>
  <xdr:twoCellAnchor editAs="oneCell">
    <xdr:from>
      <xdr:col>2</xdr:col>
      <xdr:colOff>637952</xdr:colOff>
      <xdr:row>1</xdr:row>
      <xdr:rowOff>97639</xdr:rowOff>
    </xdr:from>
    <xdr:to>
      <xdr:col>16</xdr:col>
      <xdr:colOff>69849</xdr:colOff>
      <xdr:row>49</xdr:row>
      <xdr:rowOff>158750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1802" y="326239"/>
          <a:ext cx="3781647" cy="862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81085</xdr:colOff>
      <xdr:row>10</xdr:row>
      <xdr:rowOff>95250</xdr:rowOff>
    </xdr:from>
    <xdr:ext cx="4853111" cy="6477000"/>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5285" y="1911350"/>
          <a:ext cx="4853111" cy="6477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387196</xdr:colOff>
      <xdr:row>10</xdr:row>
      <xdr:rowOff>50800</xdr:rowOff>
    </xdr:from>
    <xdr:to>
      <xdr:col>14</xdr:col>
      <xdr:colOff>542241</xdr:colOff>
      <xdr:row>67</xdr:row>
      <xdr:rowOff>19050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5796" y="1682750"/>
          <a:ext cx="4257145" cy="860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533400</xdr:colOff>
      <xdr:row>9</xdr:row>
      <xdr:rowOff>133350</xdr:rowOff>
    </xdr:from>
    <xdr:to>
      <xdr:col>15</xdr:col>
      <xdr:colOff>590550</xdr:colOff>
      <xdr:row>68</xdr:row>
      <xdr:rowOff>32290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466850"/>
          <a:ext cx="3568700" cy="863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304800</xdr:colOff>
      <xdr:row>7</xdr:row>
      <xdr:rowOff>125134</xdr:rowOff>
    </xdr:from>
    <xdr:to>
      <xdr:col>14</xdr:col>
      <xdr:colOff>404041</xdr:colOff>
      <xdr:row>46</xdr:row>
      <xdr:rowOff>2546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17900" y="1585634"/>
          <a:ext cx="3947341" cy="686241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2315307</xdr:colOff>
      <xdr:row>21</xdr:row>
      <xdr:rowOff>84260</xdr:rowOff>
    </xdr:from>
    <xdr:to>
      <xdr:col>13</xdr:col>
      <xdr:colOff>502883</xdr:colOff>
      <xdr:row>74</xdr:row>
      <xdr:rowOff>77910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6657" y="1335210"/>
          <a:ext cx="5001126" cy="7937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erekeningen%20individuele%20cabin\Thrillseeker_2009_3%20concept%20meetbrief%20+%20namenlij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ublic\Documents\BAMA\2009_Ratings\Apps-Certs\2009_Texel_C31_TriplePlay_Screacher_0908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erekeningen%20kajuit%20mh\individuele%20kajuit%20mh\meetbrief%20TR2008%20version%201%20restl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tbrief"/>
      <sheetName val="Berekeningen"/>
      <sheetName val="namenlijst"/>
    </sheetNames>
    <sheetDataSet>
      <sheetData sheetId="0" refreshError="1">
        <row r="30">
          <cell r="B30">
            <v>4.29</v>
          </cell>
        </row>
        <row r="31">
          <cell r="B31">
            <v>1.35</v>
          </cell>
        </row>
        <row r="32">
          <cell r="B32">
            <v>2.58</v>
          </cell>
        </row>
        <row r="33">
          <cell r="B33">
            <v>3.36</v>
          </cell>
        </row>
        <row r="34">
          <cell r="B34">
            <v>3.9</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C-31_TriplePlay_032209"/>
      <sheetName val="Nat_TriAssoc_SAreas_SqFt_Sq_M"/>
      <sheetName val="namenlijst"/>
      <sheetName val="Blad3"/>
    </sheetNames>
    <sheetDataSet>
      <sheetData sheetId="0">
        <row r="13">
          <cell r="D13">
            <v>2060.67</v>
          </cell>
          <cell r="H13">
            <v>301.2</v>
          </cell>
        </row>
        <row r="14">
          <cell r="H14">
            <v>2361.87</v>
          </cell>
        </row>
        <row r="15">
          <cell r="H15">
            <v>28.701908396244491</v>
          </cell>
        </row>
        <row r="16">
          <cell r="D16">
            <v>1</v>
          </cell>
          <cell r="H16">
            <v>18.922400843060412</v>
          </cell>
        </row>
        <row r="18">
          <cell r="D18">
            <v>9.2799999999999994</v>
          </cell>
          <cell r="H18">
            <v>4.8534841009857717</v>
          </cell>
        </row>
        <row r="19">
          <cell r="D19">
            <v>35.06</v>
          </cell>
          <cell r="H19">
            <v>2.1919622137582624</v>
          </cell>
        </row>
        <row r="20">
          <cell r="D20">
            <v>11.16</v>
          </cell>
          <cell r="H20">
            <v>54.66975555404894</v>
          </cell>
        </row>
        <row r="21">
          <cell r="H21">
            <v>1.9502046991812032</v>
          </cell>
        </row>
        <row r="22">
          <cell r="D22">
            <v>4.24</v>
          </cell>
          <cell r="H22">
            <v>0.81865112368067572</v>
          </cell>
        </row>
        <row r="23">
          <cell r="D23">
            <v>25.83</v>
          </cell>
          <cell r="H23">
            <v>1.0594109360753396</v>
          </cell>
        </row>
        <row r="24">
          <cell r="D24">
            <v>4.9377599999999999</v>
          </cell>
          <cell r="H24">
            <v>0.7325745583840656</v>
          </cell>
        </row>
        <row r="25">
          <cell r="D25">
            <v>10.027919999999998</v>
          </cell>
        </row>
        <row r="26">
          <cell r="D26">
            <v>88.257888000000008</v>
          </cell>
        </row>
        <row r="27">
          <cell r="D27">
            <v>25.83</v>
          </cell>
          <cell r="H27">
            <v>1</v>
          </cell>
        </row>
        <row r="28">
          <cell r="D28">
            <v>3.76</v>
          </cell>
        </row>
        <row r="29">
          <cell r="D29">
            <v>7.48</v>
          </cell>
        </row>
        <row r="30">
          <cell r="H30">
            <v>0</v>
          </cell>
        </row>
        <row r="32">
          <cell r="D32">
            <v>6.84</v>
          </cell>
          <cell r="H32">
            <v>1622.3736812966715</v>
          </cell>
        </row>
        <row r="33">
          <cell r="D33">
            <v>0.62</v>
          </cell>
          <cell r="H33">
            <v>7345.4156999999996</v>
          </cell>
        </row>
        <row r="34">
          <cell r="D34">
            <v>10</v>
          </cell>
        </row>
        <row r="39">
          <cell r="H39">
            <v>7.0000000000000007E-2</v>
          </cell>
        </row>
        <row r="40">
          <cell r="H40">
            <v>4.1722287880702336</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tbrief"/>
      <sheetName val="Berekeningen"/>
    </sheetNames>
    <sheetDataSet>
      <sheetData sheetId="0" refreshError="1">
        <row r="22">
          <cell r="B22" t="str">
            <v>trimaran</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yra.org/yra-racing/ocean-safety/" TargetMode="External"/><Relationship Id="rId2" Type="http://schemas.openxmlformats.org/officeDocument/2006/relationships/hyperlink" Target="http://yra.org/yra-racing/safety-requirements/" TargetMode="External"/><Relationship Id="rId1" Type="http://schemas.openxmlformats.org/officeDocument/2006/relationships/hyperlink" Target="https://www.mercurymarine.com/en/us/engines/outboard/fourstroke/25-35-h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6"/>
  <sheetViews>
    <sheetView tabSelected="1" zoomScaleNormal="100" workbookViewId="0">
      <selection activeCell="E46" sqref="E46"/>
    </sheetView>
  </sheetViews>
  <sheetFormatPr defaultColWidth="9.15234375" defaultRowHeight="12.45"/>
  <cols>
    <col min="1" max="1" width="26.15234375" style="6" customWidth="1"/>
    <col min="2" max="2" width="11.69140625" style="6" customWidth="1"/>
    <col min="3" max="3" width="5.3828125" style="6" customWidth="1"/>
    <col min="4" max="4" width="22.15234375" style="6" customWidth="1"/>
    <col min="5" max="5" width="12.15234375" style="6" customWidth="1"/>
    <col min="6" max="6" width="5.3828125" style="6" customWidth="1"/>
    <col min="7" max="7" width="25.84375" style="6" customWidth="1"/>
    <col min="8" max="8" width="13.69140625" style="6" customWidth="1"/>
    <col min="9" max="9" width="5.69140625" style="6" customWidth="1"/>
    <col min="10" max="10" width="6.53515625" style="6" hidden="1" customWidth="1"/>
    <col min="11" max="11" width="26.3828125" style="6" hidden="1" customWidth="1"/>
    <col min="12" max="12" width="15.69140625" style="6" hidden="1" customWidth="1"/>
    <col min="13" max="13" width="5.3828125" style="6" hidden="1" customWidth="1"/>
    <col min="14" max="14" width="7.69140625" style="6" customWidth="1"/>
    <col min="15" max="15" width="13" style="6" customWidth="1"/>
    <col min="16" max="17" width="9.15234375" style="6" customWidth="1"/>
    <col min="18" max="16384" width="9.15234375" style="6"/>
  </cols>
  <sheetData>
    <row r="1" spans="1:14" ht="20.149999999999999">
      <c r="A1" s="1">
        <v>2021</v>
      </c>
      <c r="B1" s="2"/>
      <c r="C1" s="2"/>
      <c r="D1" s="3"/>
      <c r="E1" s="2"/>
      <c r="F1" s="2"/>
      <c r="G1" s="2"/>
      <c r="H1" s="4"/>
      <c r="I1" s="2"/>
      <c r="J1" s="5"/>
      <c r="K1" s="5"/>
      <c r="L1" s="2"/>
      <c r="M1" s="2"/>
      <c r="N1" s="2"/>
    </row>
    <row r="2" spans="1:14">
      <c r="A2" s="7">
        <v>44238</v>
      </c>
      <c r="B2" s="2"/>
      <c r="C2" s="2"/>
      <c r="D2" s="2"/>
      <c r="E2" s="2"/>
      <c r="F2" s="2"/>
      <c r="G2" s="2"/>
      <c r="H2" s="2"/>
      <c r="I2" s="2"/>
      <c r="J2" s="5"/>
      <c r="K2" s="5"/>
      <c r="L2" s="2"/>
      <c r="M2" s="2"/>
      <c r="N2" s="2"/>
    </row>
    <row r="3" spans="1:14">
      <c r="A3" s="7"/>
      <c r="B3" s="2"/>
      <c r="C3" s="2"/>
      <c r="D3" s="2"/>
      <c r="E3" s="2"/>
      <c r="F3" s="2"/>
      <c r="G3" s="2"/>
      <c r="H3" s="2"/>
      <c r="I3" s="2"/>
      <c r="J3" s="5"/>
      <c r="K3" s="5"/>
      <c r="L3" s="2"/>
      <c r="M3" s="2"/>
      <c r="N3" s="2"/>
    </row>
    <row r="4" spans="1:14" ht="15.45">
      <c r="A4" s="8" t="s">
        <v>0</v>
      </c>
      <c r="B4" s="9"/>
      <c r="C4" s="2"/>
      <c r="D4" s="2"/>
      <c r="E4" s="2"/>
      <c r="F4" s="10"/>
      <c r="G4" s="10"/>
      <c r="H4" s="2"/>
      <c r="I4" s="2"/>
      <c r="J4" s="5"/>
      <c r="K4" s="5"/>
      <c r="L4" s="2"/>
      <c r="M4" s="2"/>
      <c r="N4" s="2"/>
    </row>
    <row r="5" spans="1:14" ht="22.75">
      <c r="A5" s="8" t="s">
        <v>1</v>
      </c>
      <c r="B5" s="11"/>
      <c r="C5" s="12"/>
      <c r="D5" s="13"/>
      <c r="E5" s="14"/>
      <c r="F5" s="10"/>
      <c r="G5" s="10"/>
      <c r="H5" s="15"/>
      <c r="I5" s="2"/>
      <c r="J5" s="5"/>
      <c r="K5" s="5"/>
      <c r="L5" s="2"/>
      <c r="M5" s="2"/>
      <c r="N5" s="2"/>
    </row>
    <row r="6" spans="1:14" s="16" customFormat="1" ht="10.3">
      <c r="B6" s="17"/>
      <c r="C6" s="18"/>
      <c r="D6" s="19"/>
      <c r="E6" s="14"/>
      <c r="F6" s="10"/>
      <c r="G6" s="10"/>
      <c r="I6" s="20"/>
      <c r="J6" s="20"/>
      <c r="K6" s="20"/>
      <c r="L6" s="20"/>
      <c r="M6" s="20"/>
      <c r="N6" s="20"/>
    </row>
    <row r="7" spans="1:14" s="26" customFormat="1" ht="11.6">
      <c r="A7" s="21"/>
      <c r="B7" s="22"/>
      <c r="C7" s="23"/>
      <c r="D7" s="21"/>
      <c r="E7" s="24"/>
      <c r="F7" s="10"/>
      <c r="G7" s="10"/>
      <c r="H7" s="23"/>
      <c r="I7" s="25"/>
      <c r="J7" s="25"/>
      <c r="K7" s="25"/>
      <c r="L7" s="25"/>
      <c r="M7" s="25"/>
      <c r="N7" s="25"/>
    </row>
    <row r="8" spans="1:14" s="30" customFormat="1" ht="10.3">
      <c r="A8" s="27"/>
      <c r="B8" s="5"/>
      <c r="C8" s="5"/>
      <c r="D8" s="5"/>
      <c r="E8" s="28"/>
      <c r="F8" s="10"/>
      <c r="G8" s="10"/>
      <c r="H8" s="29"/>
      <c r="I8" s="5"/>
      <c r="J8" s="5"/>
      <c r="K8" s="5"/>
      <c r="L8" s="5"/>
      <c r="M8" s="5"/>
      <c r="N8" s="5"/>
    </row>
    <row r="9" spans="1:14" s="30" customFormat="1" ht="10.3">
      <c r="A9" s="5"/>
      <c r="B9" s="5"/>
      <c r="C9" s="5"/>
      <c r="D9" s="5"/>
      <c r="E9" s="5"/>
      <c r="F9" s="10"/>
      <c r="G9" s="10"/>
      <c r="H9" s="29"/>
      <c r="I9" s="5"/>
      <c r="J9" s="5"/>
      <c r="K9" s="5"/>
      <c r="L9" s="5"/>
      <c r="M9" s="5"/>
      <c r="N9" s="5"/>
    </row>
    <row r="10" spans="1:14" s="30" customFormat="1" ht="5.15">
      <c r="A10" s="31"/>
      <c r="B10" s="32"/>
      <c r="C10" s="32"/>
      <c r="D10" s="32"/>
      <c r="E10" s="32"/>
      <c r="F10" s="32"/>
      <c r="G10" s="32"/>
      <c r="H10" s="32"/>
      <c r="I10" s="5"/>
      <c r="J10" s="5"/>
      <c r="K10" s="5"/>
      <c r="L10" s="5"/>
      <c r="M10" s="5"/>
      <c r="N10" s="5"/>
    </row>
    <row r="11" spans="1:14">
      <c r="A11" s="864" t="s">
        <v>2</v>
      </c>
      <c r="B11" s="865"/>
      <c r="C11" s="865"/>
      <c r="D11" s="865"/>
      <c r="E11" s="865"/>
      <c r="F11" s="865"/>
      <c r="G11" s="865"/>
      <c r="H11" s="866"/>
      <c r="I11" s="2"/>
      <c r="J11" s="2"/>
      <c r="K11" s="5"/>
      <c r="L11" s="2"/>
      <c r="M11" s="2"/>
      <c r="N11" s="2"/>
    </row>
    <row r="12" spans="1:14" s="30" customFormat="1" ht="5.15">
      <c r="A12" s="5"/>
      <c r="B12" s="5"/>
      <c r="C12" s="5"/>
      <c r="D12" s="5"/>
      <c r="E12" s="5"/>
      <c r="F12" s="5"/>
      <c r="G12" s="5"/>
      <c r="H12" s="5"/>
      <c r="I12" s="5"/>
      <c r="J12" s="5"/>
      <c r="K12" s="5"/>
      <c r="L12" s="5"/>
      <c r="M12" s="5"/>
      <c r="N12" s="5"/>
    </row>
    <row r="13" spans="1:14" ht="27.75" customHeight="1">
      <c r="A13" s="867" t="s">
        <v>3</v>
      </c>
      <c r="B13" s="867"/>
      <c r="C13" s="867"/>
      <c r="D13" s="867"/>
      <c r="E13" s="867"/>
      <c r="F13" s="867"/>
      <c r="G13" s="867"/>
      <c r="H13" s="867"/>
      <c r="I13" s="33"/>
      <c r="J13" s="34"/>
      <c r="K13" s="5"/>
      <c r="L13" s="2"/>
      <c r="M13" s="2"/>
      <c r="N13" s="2"/>
    </row>
    <row r="14" spans="1:14" s="30" customFormat="1" ht="5.15">
      <c r="A14" s="5"/>
      <c r="B14" s="5"/>
      <c r="C14" s="5"/>
      <c r="D14" s="5"/>
      <c r="E14" s="5"/>
      <c r="F14" s="5"/>
      <c r="G14" s="5"/>
      <c r="H14" s="5"/>
      <c r="I14" s="5"/>
      <c r="J14" s="5"/>
      <c r="K14" s="5"/>
      <c r="L14" s="5"/>
      <c r="M14" s="5"/>
      <c r="N14" s="5"/>
    </row>
    <row r="15" spans="1:14" ht="17.600000000000001">
      <c r="A15" s="35" t="s">
        <v>4</v>
      </c>
      <c r="B15" s="868"/>
      <c r="C15" s="869"/>
      <c r="D15" s="869"/>
      <c r="E15" s="35" t="s">
        <v>5</v>
      </c>
      <c r="F15" s="2"/>
      <c r="G15" s="870"/>
      <c r="H15" s="871"/>
      <c r="I15" s="36"/>
      <c r="J15" s="2"/>
      <c r="K15" s="37"/>
      <c r="L15" s="37"/>
      <c r="M15" s="38"/>
      <c r="N15" s="2"/>
    </row>
    <row r="16" spans="1:14" ht="17.600000000000001">
      <c r="A16" s="35" t="s">
        <v>6</v>
      </c>
      <c r="B16" s="872"/>
      <c r="C16" s="873"/>
      <c r="D16" s="873"/>
      <c r="E16" s="35" t="s">
        <v>7</v>
      </c>
      <c r="F16" s="2"/>
      <c r="G16" s="874"/>
      <c r="H16" s="874"/>
      <c r="I16" s="39"/>
      <c r="J16" s="2"/>
      <c r="K16" s="37"/>
      <c r="L16" s="37"/>
      <c r="M16" s="38"/>
      <c r="N16" s="2"/>
    </row>
    <row r="17" spans="1:14" ht="17.600000000000001">
      <c r="A17" s="35" t="s">
        <v>8</v>
      </c>
      <c r="B17" s="875"/>
      <c r="C17" s="876"/>
      <c r="D17" s="876"/>
      <c r="E17" s="35" t="s">
        <v>9</v>
      </c>
      <c r="F17" s="2"/>
      <c r="G17" s="877"/>
      <c r="H17" s="878"/>
      <c r="I17" s="36"/>
      <c r="J17" s="2"/>
      <c r="K17" s="37"/>
      <c r="L17" s="37"/>
      <c r="M17" s="38"/>
      <c r="N17" s="2"/>
    </row>
    <row r="18" spans="1:14" s="42" customFormat="1" ht="14.15">
      <c r="A18" s="35" t="s">
        <v>10</v>
      </c>
      <c r="B18" s="877"/>
      <c r="C18" s="879"/>
      <c r="D18" s="879"/>
      <c r="E18" s="35" t="s">
        <v>11</v>
      </c>
      <c r="F18" s="2"/>
      <c r="G18" s="880"/>
      <c r="H18" s="881"/>
      <c r="I18" s="40"/>
      <c r="J18" s="12"/>
      <c r="K18" s="5"/>
      <c r="L18" s="41"/>
      <c r="M18" s="12"/>
      <c r="N18" s="12"/>
    </row>
    <row r="19" spans="1:14" s="30" customFormat="1" ht="5.15">
      <c r="A19" s="5"/>
      <c r="B19" s="43"/>
      <c r="C19" s="43"/>
      <c r="D19" s="43"/>
      <c r="E19" s="5"/>
      <c r="F19" s="5"/>
      <c r="G19" s="43"/>
      <c r="H19" s="43"/>
      <c r="I19" s="5"/>
      <c r="J19" s="5"/>
      <c r="K19" s="5"/>
      <c r="L19" s="5"/>
      <c r="M19" s="5"/>
      <c r="N19" s="5"/>
    </row>
    <row r="20" spans="1:14" s="16" customFormat="1" ht="11.6">
      <c r="A20" s="44" t="s">
        <v>12</v>
      </c>
      <c r="B20" s="20"/>
      <c r="C20" s="20"/>
      <c r="D20" s="45" t="s">
        <v>13</v>
      </c>
      <c r="E20" s="46" t="s">
        <v>14</v>
      </c>
      <c r="F20" s="47" t="s">
        <v>15</v>
      </c>
      <c r="G20" s="45" t="s">
        <v>16</v>
      </c>
      <c r="H20" s="46" t="s">
        <v>14</v>
      </c>
      <c r="I20" s="46"/>
      <c r="J20" s="20"/>
      <c r="K20" s="5"/>
      <c r="L20" s="20"/>
      <c r="M20" s="20"/>
      <c r="N20" s="20"/>
    </row>
    <row r="21" spans="1:14">
      <c r="A21" s="48"/>
      <c r="B21" s="49" t="s">
        <v>17</v>
      </c>
      <c r="C21" s="50" t="s">
        <v>18</v>
      </c>
      <c r="D21" s="2"/>
      <c r="E21" s="44" t="s">
        <v>19</v>
      </c>
      <c r="F21" s="51"/>
      <c r="G21" s="2"/>
      <c r="H21" s="2"/>
      <c r="I21" s="51"/>
      <c r="J21" s="2"/>
      <c r="K21" s="5"/>
      <c r="L21" s="2"/>
      <c r="M21" s="2"/>
      <c r="N21" s="2"/>
    </row>
    <row r="22" spans="1:14" s="16" customFormat="1">
      <c r="A22" s="2"/>
      <c r="B22" s="47" t="s">
        <v>20</v>
      </c>
      <c r="C22" s="52" t="s">
        <v>14</v>
      </c>
      <c r="D22" s="49" t="s">
        <v>21</v>
      </c>
      <c r="E22" s="46" t="s">
        <v>14</v>
      </c>
      <c r="F22" s="49"/>
      <c r="G22" s="49" t="s">
        <v>22</v>
      </c>
      <c r="H22" s="53" t="s">
        <v>18</v>
      </c>
      <c r="I22" s="20"/>
      <c r="J22" s="45"/>
      <c r="K22" s="20"/>
      <c r="L22" s="20"/>
      <c r="M22" s="20"/>
      <c r="N22" s="20"/>
    </row>
    <row r="23" spans="1:14" s="56" customFormat="1" ht="11.6">
      <c r="A23" s="25"/>
      <c r="B23" s="47" t="s">
        <v>23</v>
      </c>
      <c r="C23" s="52" t="s">
        <v>14</v>
      </c>
      <c r="D23" s="54" t="s">
        <v>24</v>
      </c>
      <c r="E23" s="55" t="s">
        <v>14</v>
      </c>
      <c r="F23" s="49"/>
      <c r="G23" s="49" t="s">
        <v>25</v>
      </c>
      <c r="H23" s="46" t="s">
        <v>683</v>
      </c>
      <c r="I23" s="18"/>
      <c r="J23" s="18"/>
      <c r="K23" s="20"/>
      <c r="L23" s="18"/>
      <c r="M23" s="18"/>
      <c r="N23" s="18"/>
    </row>
    <row r="24" spans="1:14" s="61" customFormat="1" ht="10.3">
      <c r="A24" s="57"/>
      <c r="B24" s="58"/>
      <c r="C24" s="59"/>
      <c r="D24" s="58"/>
      <c r="E24" s="60"/>
      <c r="F24" s="52"/>
      <c r="G24" s="47"/>
      <c r="H24" s="60"/>
      <c r="I24" s="57"/>
      <c r="J24" s="45"/>
      <c r="K24" s="57"/>
      <c r="L24" s="57"/>
      <c r="M24" s="57"/>
      <c r="N24" s="57"/>
    </row>
    <row r="25" spans="1:14" s="30" customFormat="1" ht="5.15">
      <c r="A25" s="5"/>
      <c r="B25" s="5"/>
      <c r="C25" s="5"/>
      <c r="D25" s="5"/>
      <c r="E25" s="5"/>
      <c r="F25" s="5"/>
      <c r="G25" s="5"/>
      <c r="H25" s="62"/>
      <c r="I25" s="63"/>
      <c r="J25" s="5"/>
      <c r="K25" s="5"/>
      <c r="L25" s="5"/>
      <c r="M25" s="5"/>
      <c r="N25" s="5"/>
    </row>
    <row r="26" spans="1:14" ht="58.5" customHeight="1">
      <c r="A26" s="853" t="s">
        <v>26</v>
      </c>
      <c r="B26" s="853"/>
      <c r="C26" s="853"/>
      <c r="D26" s="853"/>
      <c r="E26" s="853"/>
      <c r="F26" s="853"/>
      <c r="G26" s="853"/>
      <c r="H26" s="853"/>
      <c r="I26" s="64"/>
      <c r="J26" s="2"/>
      <c r="K26" s="2"/>
      <c r="L26" s="2"/>
      <c r="M26" s="2"/>
      <c r="N26" s="2"/>
    </row>
    <row r="27" spans="1:14" s="30" customFormat="1" ht="10.3">
      <c r="A27" s="65"/>
      <c r="B27" s="66" t="s">
        <v>27</v>
      </c>
      <c r="C27" s="67" t="s">
        <v>28</v>
      </c>
      <c r="D27" s="68"/>
      <c r="E27" s="66" t="s">
        <v>27</v>
      </c>
      <c r="F27" s="67" t="s">
        <v>28</v>
      </c>
      <c r="G27" s="69"/>
      <c r="H27" s="66" t="s">
        <v>27</v>
      </c>
      <c r="I27" s="70" t="s">
        <v>28</v>
      </c>
      <c r="J27" s="5"/>
      <c r="K27" s="5"/>
      <c r="L27" s="5"/>
      <c r="M27" s="5"/>
      <c r="N27" s="5"/>
    </row>
    <row r="28" spans="1:14" ht="14.15">
      <c r="A28" s="71" t="s">
        <v>147</v>
      </c>
      <c r="B28" s="72"/>
      <c r="C28" s="73">
        <f xml:space="preserve"> 10.7639104 *B28</f>
        <v>0</v>
      </c>
      <c r="D28" s="74" t="s">
        <v>29</v>
      </c>
      <c r="E28" s="72">
        <f>0.1125*E29*(1.445*E30+2*E35+2*E34+1.5*E33+E32+0.5*E31)+((2/3)*E36*E37)</f>
        <v>2.8125000000000003E-3</v>
      </c>
      <c r="F28" s="73">
        <f>0.1125*F29*(1.445*F30+2*F35+2*F34+1.5*F33+F32+0.5*F31)+((2/3)*F36*F37)</f>
        <v>3.0273498139027532E-2</v>
      </c>
      <c r="G28" s="75" t="s">
        <v>30</v>
      </c>
      <c r="H28" s="72">
        <f>0.1125*H29*(1.445*H30+2*H35+2*H34+1.5*H33+H32+0.5*H31)+((2/3)*H36*H37)</f>
        <v>0</v>
      </c>
      <c r="I28" s="73">
        <f>0.1125*I29*(1.445*I30+2*I35+2*I34+1.5*I33+I32+0.5*I31)+((2/3)*I36*I37)</f>
        <v>0</v>
      </c>
      <c r="J28" s="76" t="e">
        <f>(J32*(J32-J29)*(J32-J30)*(J32-J31))^0.5</f>
        <v>#NUM!</v>
      </c>
      <c r="K28" s="77" t="s">
        <v>31</v>
      </c>
      <c r="L28" s="78" t="e">
        <f xml:space="preserve"> 10.7639104 *J28</f>
        <v>#NUM!</v>
      </c>
      <c r="M28" s="2"/>
      <c r="N28" s="2"/>
    </row>
    <row r="29" spans="1:14" ht="14.15">
      <c r="A29" s="79" t="s">
        <v>682</v>
      </c>
      <c r="B29" s="80">
        <f>(B30/8)*(B31+2*B36+2*B35+1.5*B34+B33+0.5*B32)-B38</f>
        <v>0</v>
      </c>
      <c r="C29" s="81">
        <f>(C30/8)*(C31+(2*C36)+(2*C35)+(1.5*C34)+(C33)+(0.5*C32))-C38</f>
        <v>0</v>
      </c>
      <c r="D29" s="82" t="s">
        <v>32</v>
      </c>
      <c r="E29" s="83">
        <v>1</v>
      </c>
      <c r="F29" s="84">
        <f t="shared" ref="F29:F38" si="0">E29*3.2808399</f>
        <v>3.2808399000000001</v>
      </c>
      <c r="G29" s="82" t="s">
        <v>33</v>
      </c>
      <c r="H29" s="83">
        <v>0</v>
      </c>
      <c r="I29" s="85">
        <f t="shared" ref="I29:I38" si="1">H29*3.2808399</f>
        <v>0</v>
      </c>
      <c r="J29" s="86">
        <f>H29</f>
        <v>0</v>
      </c>
      <c r="K29" s="87" t="s">
        <v>34</v>
      </c>
      <c r="L29" s="88"/>
      <c r="M29" s="89"/>
      <c r="N29" s="90"/>
    </row>
    <row r="30" spans="1:14">
      <c r="A30" s="82" t="s">
        <v>35</v>
      </c>
      <c r="B30" s="83">
        <v>1</v>
      </c>
      <c r="C30" s="84">
        <f t="shared" ref="C30:C37" si="2">B30*3.2808399</f>
        <v>3.2808399000000001</v>
      </c>
      <c r="D30" s="82" t="s">
        <v>36</v>
      </c>
      <c r="E30" s="83">
        <v>0</v>
      </c>
      <c r="F30" s="84">
        <f t="shared" si="0"/>
        <v>0</v>
      </c>
      <c r="G30" s="82" t="s">
        <v>36</v>
      </c>
      <c r="H30" s="83">
        <v>0</v>
      </c>
      <c r="I30" s="85">
        <f t="shared" si="1"/>
        <v>0</v>
      </c>
      <c r="J30" s="91">
        <f>H38</f>
        <v>9.98</v>
      </c>
      <c r="K30" s="87" t="s">
        <v>37</v>
      </c>
      <c r="L30" s="88"/>
      <c r="M30" s="89"/>
      <c r="N30" s="90"/>
    </row>
    <row r="31" spans="1:14">
      <c r="A31" s="92" t="s">
        <v>38</v>
      </c>
      <c r="B31" s="83">
        <v>0</v>
      </c>
      <c r="C31" s="84">
        <f t="shared" si="2"/>
        <v>0</v>
      </c>
      <c r="D31" s="82" t="s">
        <v>39</v>
      </c>
      <c r="E31" s="83">
        <v>0.05</v>
      </c>
      <c r="F31" s="93">
        <f t="shared" si="0"/>
        <v>0.16404199500000002</v>
      </c>
      <c r="G31" s="82" t="s">
        <v>39</v>
      </c>
      <c r="H31" s="83">
        <v>0</v>
      </c>
      <c r="I31" s="94">
        <f t="shared" si="1"/>
        <v>0</v>
      </c>
      <c r="J31" s="86">
        <f>H36</f>
        <v>0</v>
      </c>
      <c r="K31" s="87" t="s">
        <v>40</v>
      </c>
      <c r="L31" s="88"/>
      <c r="M31" s="89"/>
      <c r="N31" s="90"/>
    </row>
    <row r="32" spans="1:14">
      <c r="A32" s="82" t="s">
        <v>41</v>
      </c>
      <c r="B32" s="83">
        <v>0</v>
      </c>
      <c r="C32" s="95">
        <f t="shared" si="2"/>
        <v>0</v>
      </c>
      <c r="D32" s="96" t="s">
        <v>42</v>
      </c>
      <c r="E32" s="83">
        <v>0</v>
      </c>
      <c r="F32" s="93">
        <f t="shared" si="0"/>
        <v>0</v>
      </c>
      <c r="G32" s="96" t="s">
        <v>42</v>
      </c>
      <c r="H32" s="83">
        <v>0</v>
      </c>
      <c r="I32" s="94">
        <f t="shared" si="1"/>
        <v>0</v>
      </c>
      <c r="J32" s="97">
        <f>(J29+J30+J31)/2</f>
        <v>4.99</v>
      </c>
      <c r="K32" s="98" t="s">
        <v>43</v>
      </c>
      <c r="L32" s="99"/>
      <c r="M32" s="99"/>
      <c r="N32" s="2"/>
    </row>
    <row r="33" spans="1:14">
      <c r="A33" s="82" t="s">
        <v>44</v>
      </c>
      <c r="B33" s="83">
        <v>0</v>
      </c>
      <c r="C33" s="95">
        <f t="shared" si="2"/>
        <v>0</v>
      </c>
      <c r="D33" s="96" t="s">
        <v>45</v>
      </c>
      <c r="E33" s="83">
        <v>0</v>
      </c>
      <c r="F33" s="93">
        <f t="shared" si="0"/>
        <v>0</v>
      </c>
      <c r="G33" s="96" t="s">
        <v>45</v>
      </c>
      <c r="H33" s="83">
        <v>0</v>
      </c>
      <c r="I33" s="94">
        <f t="shared" si="1"/>
        <v>0</v>
      </c>
      <c r="J33" s="100"/>
      <c r="K33" s="98" t="s">
        <v>46</v>
      </c>
      <c r="L33" s="101"/>
      <c r="M33" s="102"/>
      <c r="N33" s="2"/>
    </row>
    <row r="34" spans="1:14">
      <c r="A34" s="82" t="s">
        <v>47</v>
      </c>
      <c r="B34" s="83">
        <v>0</v>
      </c>
      <c r="C34" s="95">
        <f t="shared" si="2"/>
        <v>0</v>
      </c>
      <c r="D34" s="96" t="s">
        <v>48</v>
      </c>
      <c r="E34" s="83">
        <v>0</v>
      </c>
      <c r="F34" s="93">
        <f t="shared" si="0"/>
        <v>0</v>
      </c>
      <c r="G34" s="96" t="s">
        <v>48</v>
      </c>
      <c r="H34" s="83">
        <v>0</v>
      </c>
      <c r="I34" s="94">
        <f t="shared" si="1"/>
        <v>0</v>
      </c>
      <c r="J34" s="103" t="e">
        <f>2*J28/J29</f>
        <v>#NUM!</v>
      </c>
      <c r="K34" s="20" t="s">
        <v>49</v>
      </c>
      <c r="L34" s="104"/>
      <c r="M34" s="105"/>
      <c r="N34" s="2"/>
    </row>
    <row r="35" spans="1:14">
      <c r="A35" s="82" t="s">
        <v>50</v>
      </c>
      <c r="B35" s="83">
        <v>0</v>
      </c>
      <c r="C35" s="95">
        <f t="shared" si="2"/>
        <v>0</v>
      </c>
      <c r="D35" s="96" t="s">
        <v>51</v>
      </c>
      <c r="E35" s="83">
        <v>0</v>
      </c>
      <c r="F35" s="93">
        <f t="shared" si="0"/>
        <v>0</v>
      </c>
      <c r="G35" s="96" t="s">
        <v>51</v>
      </c>
      <c r="H35" s="83">
        <v>0</v>
      </c>
      <c r="I35" s="94">
        <f t="shared" si="1"/>
        <v>0</v>
      </c>
      <c r="J35" s="106"/>
      <c r="K35" s="20"/>
      <c r="L35" s="2"/>
      <c r="M35" s="2"/>
      <c r="N35" s="2"/>
    </row>
    <row r="36" spans="1:14">
      <c r="A36" s="82" t="s">
        <v>52</v>
      </c>
      <c r="B36" s="83">
        <v>0</v>
      </c>
      <c r="C36" s="95">
        <f t="shared" si="2"/>
        <v>0</v>
      </c>
      <c r="D36" s="92" t="s">
        <v>53</v>
      </c>
      <c r="E36" s="83">
        <v>0</v>
      </c>
      <c r="F36" s="93">
        <f t="shared" si="0"/>
        <v>0</v>
      </c>
      <c r="G36" s="92" t="s">
        <v>54</v>
      </c>
      <c r="H36" s="83">
        <v>0</v>
      </c>
      <c r="I36" s="94">
        <f t="shared" si="1"/>
        <v>0</v>
      </c>
      <c r="J36" s="106"/>
      <c r="K36" s="20"/>
      <c r="L36" s="107"/>
      <c r="M36" s="107"/>
      <c r="N36" s="2"/>
    </row>
    <row r="37" spans="1:14">
      <c r="A37" s="108" t="s">
        <v>55</v>
      </c>
      <c r="B37" s="83">
        <v>0</v>
      </c>
      <c r="C37" s="95">
        <f t="shared" si="2"/>
        <v>0</v>
      </c>
      <c r="D37" s="82" t="s">
        <v>56</v>
      </c>
      <c r="E37" s="83">
        <v>0</v>
      </c>
      <c r="F37" s="93">
        <f t="shared" si="0"/>
        <v>0</v>
      </c>
      <c r="G37" s="92" t="s">
        <v>57</v>
      </c>
      <c r="H37" s="109">
        <v>0</v>
      </c>
      <c r="I37" s="94">
        <f t="shared" si="1"/>
        <v>0</v>
      </c>
      <c r="J37" s="110" t="e">
        <f>H34/H30</f>
        <v>#DIV/0!</v>
      </c>
      <c r="K37" s="111" t="s">
        <v>58</v>
      </c>
      <c r="L37" s="107"/>
      <c r="M37" s="107"/>
      <c r="N37" s="2"/>
    </row>
    <row r="38" spans="1:14">
      <c r="A38" s="112" t="s">
        <v>59</v>
      </c>
      <c r="B38" s="113">
        <v>0</v>
      </c>
      <c r="C38" s="95">
        <f>B38*10.7639104</f>
        <v>0</v>
      </c>
      <c r="D38" s="114" t="s">
        <v>60</v>
      </c>
      <c r="E38" s="113">
        <v>8.2406264683149413</v>
      </c>
      <c r="F38" s="93">
        <f t="shared" si="0"/>
        <v>27.036176118243745</v>
      </c>
      <c r="G38" s="114" t="s">
        <v>61</v>
      </c>
      <c r="H38" s="113">
        <v>9.98</v>
      </c>
      <c r="I38" s="94">
        <f t="shared" si="1"/>
        <v>32.742782202000001</v>
      </c>
      <c r="J38" s="89"/>
      <c r="K38" s="20"/>
      <c r="L38" s="115"/>
      <c r="M38" s="107"/>
      <c r="N38" s="2"/>
    </row>
    <row r="39" spans="1:14" s="30" customFormat="1" ht="10.3">
      <c r="A39" s="68" t="s">
        <v>62</v>
      </c>
      <c r="B39" s="68"/>
      <c r="C39" s="5"/>
      <c r="D39" s="116" t="s">
        <v>63</v>
      </c>
      <c r="F39" s="68"/>
      <c r="G39" s="116" t="s">
        <v>63</v>
      </c>
      <c r="H39" s="66" t="s">
        <v>64</v>
      </c>
      <c r="I39" s="70" t="s">
        <v>65</v>
      </c>
      <c r="J39" s="5"/>
      <c r="K39" s="5"/>
      <c r="L39" s="5"/>
      <c r="M39" s="5"/>
      <c r="N39" s="5"/>
    </row>
    <row r="40" spans="1:14" ht="14.15">
      <c r="A40" s="860" t="s">
        <v>66</v>
      </c>
      <c r="B40" s="861"/>
      <c r="C40" s="117"/>
      <c r="D40" s="74" t="s">
        <v>29</v>
      </c>
      <c r="E40" s="118">
        <f>(1/2*E41*E42)+(2/3*E41*E47)+(2/3*E46*E49)+(2/3*E45*E48)+(E50*(E50-E44)*(E50-E45)*(E50-E43))^0.5</f>
        <v>0.20601471365884086</v>
      </c>
      <c r="F40" s="81">
        <f>(1/2*F41*F42)+(2/3*F41*F47)+(2/3*F46*F49)+(2/3*F45*F48)+(F50*(F50-F44)*(F50-F45)*(F50-F43))^0.5</f>
        <v>2.2175239290891793</v>
      </c>
      <c r="G40" s="862" t="s">
        <v>67</v>
      </c>
      <c r="H40" s="863"/>
      <c r="I40" s="69"/>
      <c r="J40" s="76" t="e">
        <f>(J44*(J44-J41)*(J44-J42)*(J44-J43))^0.5</f>
        <v>#NUM!</v>
      </c>
      <c r="K40" s="20" t="s">
        <v>68</v>
      </c>
      <c r="L40" s="78" t="e">
        <f xml:space="preserve"> 10.7639104 *J40</f>
        <v>#NUM!</v>
      </c>
      <c r="M40" s="88"/>
      <c r="N40" s="119"/>
    </row>
    <row r="41" spans="1:14">
      <c r="A41" s="851"/>
      <c r="B41" s="852"/>
      <c r="C41" s="117"/>
      <c r="D41" s="82" t="s">
        <v>32</v>
      </c>
      <c r="E41" s="83">
        <f>E29</f>
        <v>1</v>
      </c>
      <c r="F41" s="84">
        <f>F29</f>
        <v>3.2808399000000001</v>
      </c>
      <c r="G41" s="96" t="s">
        <v>69</v>
      </c>
      <c r="H41" s="120">
        <v>0</v>
      </c>
      <c r="I41" s="121">
        <f>H41*2.20462262</f>
        <v>0</v>
      </c>
      <c r="J41" s="86">
        <f>E41</f>
        <v>1</v>
      </c>
      <c r="K41" s="87" t="s">
        <v>70</v>
      </c>
      <c r="L41" s="122"/>
      <c r="M41" s="119"/>
      <c r="N41" s="5"/>
    </row>
    <row r="42" spans="1:14" ht="14.15">
      <c r="A42" s="123" t="s">
        <v>71</v>
      </c>
      <c r="B42" s="124">
        <f>(B43+B44)*(B46+4*B45)/12</f>
        <v>0</v>
      </c>
      <c r="C42" s="125">
        <f>(C43+C44)*(C46+4*C45)/12</f>
        <v>0</v>
      </c>
      <c r="D42" s="82" t="s">
        <v>72</v>
      </c>
      <c r="E42" s="83">
        <f>E30</f>
        <v>0</v>
      </c>
      <c r="F42" s="84">
        <f>F30</f>
        <v>0</v>
      </c>
      <c r="G42" s="96" t="s">
        <v>73</v>
      </c>
      <c r="H42" s="120"/>
      <c r="I42" s="121"/>
      <c r="J42" s="91">
        <f>E44</f>
        <v>8.2406264683149413</v>
      </c>
      <c r="K42" s="87" t="s">
        <v>74</v>
      </c>
      <c r="L42" s="122"/>
      <c r="M42" s="119"/>
      <c r="N42" s="5"/>
    </row>
    <row r="43" spans="1:14">
      <c r="A43" s="82" t="s">
        <v>75</v>
      </c>
      <c r="B43" s="126">
        <v>0</v>
      </c>
      <c r="C43" s="93">
        <f>B43*3.2808399</f>
        <v>0</v>
      </c>
      <c r="D43" s="82" t="s">
        <v>76</v>
      </c>
      <c r="E43" s="83">
        <f>E31</f>
        <v>0.05</v>
      </c>
      <c r="F43" s="93">
        <f>E43*3.2808399</f>
        <v>0.16404199500000002</v>
      </c>
      <c r="G43" s="96"/>
      <c r="H43" s="120"/>
      <c r="I43" s="121"/>
      <c r="J43" s="86">
        <f>E46</f>
        <v>0</v>
      </c>
      <c r="K43" s="87" t="s">
        <v>40</v>
      </c>
      <c r="L43" s="122"/>
      <c r="M43" s="119"/>
      <c r="N43" s="5"/>
    </row>
    <row r="44" spans="1:14">
      <c r="A44" s="82" t="s">
        <v>77</v>
      </c>
      <c r="B44" s="126">
        <v>0</v>
      </c>
      <c r="C44" s="93">
        <f>B44*3.2808399</f>
        <v>0</v>
      </c>
      <c r="D44" s="82" t="s">
        <v>78</v>
      </c>
      <c r="E44" s="109">
        <f>E38</f>
        <v>8.2406264683149413</v>
      </c>
      <c r="F44" s="93">
        <f>E44*3.2808399</f>
        <v>27.036176118243745</v>
      </c>
      <c r="G44" s="96" t="s">
        <v>79</v>
      </c>
      <c r="H44" s="120"/>
      <c r="I44" s="121"/>
      <c r="J44" s="99">
        <f>(J41+J42+J43)/2</f>
        <v>4.6203132341574706</v>
      </c>
      <c r="K44" s="98" t="s">
        <v>43</v>
      </c>
      <c r="L44" s="99"/>
      <c r="M44" s="99"/>
      <c r="N44" s="5"/>
    </row>
    <row r="45" spans="1:14">
      <c r="A45" s="82" t="s">
        <v>80</v>
      </c>
      <c r="B45" s="126">
        <v>0</v>
      </c>
      <c r="C45" s="93">
        <f>B45*3.2808399</f>
        <v>0</v>
      </c>
      <c r="D45" s="82" t="s">
        <v>81</v>
      </c>
      <c r="E45" s="127">
        <f>E44</f>
        <v>8.2406264683149413</v>
      </c>
      <c r="F45" s="128">
        <f>E45*3.2808399</f>
        <v>27.036176118243745</v>
      </c>
      <c r="G45" s="82" t="s">
        <v>82</v>
      </c>
      <c r="H45" s="120">
        <f>SUM(H41:H44)</f>
        <v>0</v>
      </c>
      <c r="I45" s="121">
        <f>SUM(I41:I44)</f>
        <v>0</v>
      </c>
      <c r="J45" s="2"/>
      <c r="K45" s="98" t="s">
        <v>83</v>
      </c>
      <c r="L45" s="2"/>
      <c r="M45" s="129"/>
      <c r="N45" s="5"/>
    </row>
    <row r="46" spans="1:14">
      <c r="A46" s="82" t="s">
        <v>84</v>
      </c>
      <c r="B46" s="126">
        <v>0</v>
      </c>
      <c r="C46" s="93">
        <f>B46*3.2808399</f>
        <v>0</v>
      </c>
      <c r="D46" s="92" t="s">
        <v>85</v>
      </c>
      <c r="E46" s="83">
        <f>E36</f>
        <v>0</v>
      </c>
      <c r="F46" s="93">
        <f>E46*3.2808399</f>
        <v>0</v>
      </c>
      <c r="G46" s="82"/>
      <c r="H46" s="130"/>
      <c r="I46" s="121"/>
      <c r="J46" s="103" t="e">
        <f>2*J40/J41</f>
        <v>#NUM!</v>
      </c>
      <c r="K46" s="20" t="s">
        <v>86</v>
      </c>
      <c r="L46" s="76"/>
      <c r="M46" s="131"/>
      <c r="N46" s="5"/>
    </row>
    <row r="47" spans="1:14">
      <c r="A47" s="132"/>
      <c r="B47" s="133"/>
      <c r="C47" s="95"/>
      <c r="D47" s="82" t="s">
        <v>87</v>
      </c>
      <c r="E47" s="133">
        <v>0</v>
      </c>
      <c r="F47" s="93">
        <f t="shared" ref="F47:F48" si="3">E47*3.2808399</f>
        <v>0</v>
      </c>
      <c r="G47" s="82" t="s">
        <v>88</v>
      </c>
      <c r="H47" s="134"/>
      <c r="I47" s="121"/>
      <c r="J47" s="86"/>
      <c r="K47" s="20"/>
      <c r="L47" s="20"/>
      <c r="M47" s="2"/>
      <c r="N47" s="5"/>
    </row>
    <row r="48" spans="1:14">
      <c r="A48" s="132"/>
      <c r="B48" s="134"/>
      <c r="C48" s="117"/>
      <c r="D48" s="82" t="s">
        <v>89</v>
      </c>
      <c r="E48" s="133">
        <v>0</v>
      </c>
      <c r="F48" s="93">
        <f t="shared" si="3"/>
        <v>0</v>
      </c>
      <c r="G48" s="82"/>
      <c r="H48" s="134"/>
      <c r="I48" s="121"/>
      <c r="J48" s="106"/>
      <c r="K48" s="20"/>
      <c r="L48" s="20"/>
      <c r="M48" s="2"/>
      <c r="N48" s="5"/>
    </row>
    <row r="49" spans="1:14">
      <c r="A49" s="135" t="s">
        <v>90</v>
      </c>
      <c r="B49" s="136">
        <f>IF(B46=0,0,B45/B46)</f>
        <v>0</v>
      </c>
      <c r="C49" s="117"/>
      <c r="D49" s="114" t="s">
        <v>91</v>
      </c>
      <c r="E49" s="109">
        <f>E37</f>
        <v>0</v>
      </c>
      <c r="F49" s="93">
        <f>E49*3.2808399</f>
        <v>0</v>
      </c>
      <c r="G49" s="114" t="s">
        <v>92</v>
      </c>
      <c r="H49" s="137">
        <f>H45+H47</f>
        <v>0</v>
      </c>
      <c r="I49" s="121">
        <f>H49*2.20462262</f>
        <v>0</v>
      </c>
      <c r="J49" s="106"/>
      <c r="K49" s="20"/>
      <c r="L49" s="20"/>
      <c r="M49" s="2"/>
      <c r="N49" s="5"/>
    </row>
    <row r="50" spans="1:14" s="30" customFormat="1" ht="7.75">
      <c r="A50" s="43" t="s">
        <v>93</v>
      </c>
      <c r="B50" s="43"/>
      <c r="C50" s="5"/>
      <c r="D50" s="138"/>
      <c r="E50" s="139">
        <f>(1/2*(E43+E44+E45))</f>
        <v>8.2656264683149416</v>
      </c>
      <c r="F50" s="140">
        <f>(1/2*(F43+F44+F45))</f>
        <v>27.118197115743747</v>
      </c>
      <c r="G50" s="43"/>
      <c r="H50" s="43"/>
      <c r="I50" s="5"/>
      <c r="J50" s="5"/>
      <c r="K50" s="5"/>
      <c r="L50" s="5"/>
      <c r="M50" s="5"/>
      <c r="N50" s="5"/>
    </row>
    <row r="51" spans="1:14" ht="24" customHeight="1">
      <c r="A51" s="853" t="s">
        <v>94</v>
      </c>
      <c r="B51" s="853"/>
      <c r="C51" s="853"/>
      <c r="D51" s="853"/>
      <c r="E51" s="853"/>
      <c r="F51" s="853"/>
      <c r="G51" s="853"/>
      <c r="H51" s="853"/>
      <c r="I51" s="141"/>
      <c r="J51" s="141"/>
      <c r="K51" s="2"/>
      <c r="L51" s="2"/>
      <c r="M51" s="2"/>
      <c r="N51" s="2"/>
    </row>
    <row r="52" spans="1:14" s="30" customFormat="1" ht="10.3">
      <c r="A52" s="65"/>
      <c r="B52" s="66" t="s">
        <v>27</v>
      </c>
      <c r="C52" s="67" t="s">
        <v>28</v>
      </c>
      <c r="D52" s="65"/>
      <c r="E52" s="65"/>
      <c r="F52" s="5"/>
      <c r="G52" s="65"/>
      <c r="H52" s="65"/>
      <c r="I52" s="5"/>
      <c r="J52" s="5"/>
      <c r="K52" s="142"/>
      <c r="L52" s="5"/>
      <c r="M52" s="5"/>
      <c r="N52" s="5"/>
    </row>
    <row r="53" spans="1:14" s="16" customFormat="1">
      <c r="A53" s="854" t="s">
        <v>95</v>
      </c>
      <c r="B53" s="855"/>
      <c r="C53" s="117"/>
      <c r="D53" s="854" t="s">
        <v>96</v>
      </c>
      <c r="E53" s="855"/>
      <c r="F53" s="117"/>
      <c r="G53" s="854" t="s">
        <v>97</v>
      </c>
      <c r="H53" s="856"/>
      <c r="I53" s="143"/>
      <c r="J53" s="2"/>
      <c r="K53" s="144"/>
      <c r="L53" s="20"/>
      <c r="M53" s="20"/>
      <c r="N53" s="20"/>
    </row>
    <row r="54" spans="1:14" s="16" customFormat="1">
      <c r="A54" s="82" t="s">
        <v>98</v>
      </c>
      <c r="B54" s="145">
        <v>0</v>
      </c>
      <c r="C54" s="93">
        <f>B54/0.3048</f>
        <v>0</v>
      </c>
      <c r="D54" s="82" t="s">
        <v>99</v>
      </c>
      <c r="E54" s="134" t="s">
        <v>13</v>
      </c>
      <c r="F54" s="117"/>
      <c r="G54" s="132" t="s">
        <v>100</v>
      </c>
      <c r="H54" s="134" t="s">
        <v>101</v>
      </c>
      <c r="I54" s="143"/>
      <c r="J54" s="146"/>
      <c r="K54" s="12"/>
      <c r="L54" s="147"/>
      <c r="M54" s="148"/>
      <c r="N54" s="20"/>
    </row>
    <row r="55" spans="1:14" s="16" customFormat="1">
      <c r="A55" s="82"/>
      <c r="B55" s="145"/>
      <c r="C55" s="93"/>
      <c r="D55" s="82" t="s">
        <v>102</v>
      </c>
      <c r="E55" s="134" t="s">
        <v>103</v>
      </c>
      <c r="F55" s="117"/>
      <c r="G55" s="132" t="s">
        <v>104</v>
      </c>
      <c r="H55" s="134" t="s">
        <v>101</v>
      </c>
      <c r="I55" s="143"/>
      <c r="J55" s="146"/>
      <c r="K55" s="12"/>
      <c r="L55" s="149"/>
      <c r="M55" s="150"/>
      <c r="N55" s="20"/>
    </row>
    <row r="56" spans="1:14" s="16" customFormat="1">
      <c r="A56" s="82" t="s">
        <v>105</v>
      </c>
      <c r="B56" s="83">
        <v>0</v>
      </c>
      <c r="C56" s="93">
        <f>B56/0.3048</f>
        <v>0</v>
      </c>
      <c r="D56" s="82" t="s">
        <v>106</v>
      </c>
      <c r="E56" s="134"/>
      <c r="F56" s="117"/>
      <c r="G56" s="82" t="s">
        <v>107</v>
      </c>
      <c r="H56" s="134"/>
      <c r="I56" s="143"/>
      <c r="J56" s="146"/>
      <c r="K56" s="2"/>
      <c r="L56" s="149"/>
      <c r="M56" s="150"/>
      <c r="N56" s="20"/>
    </row>
    <row r="57" spans="1:14" s="16" customFormat="1">
      <c r="A57" s="82" t="s">
        <v>108</v>
      </c>
      <c r="B57" s="145">
        <v>0</v>
      </c>
      <c r="C57" s="93">
        <f>B57/0.3048</f>
        <v>0</v>
      </c>
      <c r="D57" s="151" t="s">
        <v>109</v>
      </c>
      <c r="E57" s="134"/>
      <c r="F57" s="117"/>
      <c r="G57" s="82" t="s">
        <v>110</v>
      </c>
      <c r="H57" s="152" t="s">
        <v>111</v>
      </c>
      <c r="I57" s="143"/>
      <c r="J57" s="146"/>
      <c r="K57" s="2"/>
      <c r="L57" s="149"/>
      <c r="M57" s="150"/>
      <c r="N57" s="20"/>
    </row>
    <row r="58" spans="1:14" s="16" customFormat="1">
      <c r="A58" s="82" t="s">
        <v>112</v>
      </c>
      <c r="B58" s="145"/>
      <c r="C58" s="95"/>
      <c r="D58" s="82" t="s">
        <v>113</v>
      </c>
      <c r="E58" s="134" t="s">
        <v>103</v>
      </c>
      <c r="F58" s="117"/>
      <c r="G58" s="79" t="s">
        <v>114</v>
      </c>
      <c r="H58" s="153">
        <v>0</v>
      </c>
      <c r="I58" s="94">
        <f t="shared" ref="I58" si="4">H58*3.2808399</f>
        <v>0</v>
      </c>
      <c r="J58" s="146"/>
      <c r="K58" s="2"/>
      <c r="L58" s="149"/>
      <c r="M58" s="150"/>
      <c r="N58" s="20"/>
    </row>
    <row r="59" spans="1:14" s="16" customFormat="1">
      <c r="A59" s="114" t="s">
        <v>115</v>
      </c>
      <c r="B59" s="154"/>
      <c r="C59" s="95"/>
      <c r="D59" s="155" t="s">
        <v>116</v>
      </c>
      <c r="E59" s="156"/>
      <c r="F59" s="117"/>
      <c r="G59" s="114" t="s">
        <v>117</v>
      </c>
      <c r="H59" s="157" t="s">
        <v>101</v>
      </c>
      <c r="I59" s="143"/>
      <c r="J59" s="146"/>
      <c r="K59" s="25"/>
      <c r="L59" s="158"/>
      <c r="M59" s="20"/>
      <c r="N59" s="20"/>
    </row>
    <row r="60" spans="1:14" s="30" customFormat="1" ht="5.15">
      <c r="A60" s="65"/>
      <c r="B60" s="68"/>
      <c r="C60" s="5"/>
      <c r="D60" s="65"/>
      <c r="E60" s="65"/>
      <c r="F60" s="65"/>
      <c r="G60" s="65"/>
      <c r="H60" s="65"/>
      <c r="I60" s="5"/>
      <c r="J60" s="5"/>
      <c r="K60" s="159"/>
      <c r="L60" s="5"/>
      <c r="M60" s="159"/>
      <c r="N60" s="159"/>
    </row>
    <row r="61" spans="1:14" s="16" customFormat="1">
      <c r="A61" s="160" t="s">
        <v>118</v>
      </c>
      <c r="B61" s="161"/>
      <c r="C61" s="117"/>
      <c r="D61" s="160" t="s">
        <v>119</v>
      </c>
      <c r="E61" s="162"/>
      <c r="F61" s="162"/>
      <c r="G61" s="162"/>
      <c r="H61" s="161"/>
      <c r="I61" s="143"/>
      <c r="J61" s="146"/>
      <c r="K61" s="20"/>
      <c r="L61" s="20"/>
      <c r="M61" s="20"/>
      <c r="N61" s="20"/>
    </row>
    <row r="62" spans="1:14">
      <c r="A62" s="82" t="s">
        <v>120</v>
      </c>
      <c r="B62" s="163"/>
      <c r="C62" s="117"/>
      <c r="D62" s="82" t="s">
        <v>121</v>
      </c>
      <c r="E62" s="164" t="s">
        <v>122</v>
      </c>
      <c r="F62" s="2"/>
      <c r="G62" s="12" t="s">
        <v>123</v>
      </c>
      <c r="H62" s="134"/>
      <c r="I62" s="143"/>
      <c r="J62" s="146"/>
      <c r="K62" s="20"/>
      <c r="L62" s="20"/>
      <c r="M62" s="165"/>
      <c r="N62" s="165"/>
    </row>
    <row r="63" spans="1:14">
      <c r="A63" s="114" t="s">
        <v>124</v>
      </c>
      <c r="B63" s="166"/>
      <c r="C63" s="117"/>
      <c r="D63" s="114" t="s">
        <v>125</v>
      </c>
      <c r="E63" s="167"/>
      <c r="F63" s="168"/>
      <c r="G63" s="169" t="s">
        <v>126</v>
      </c>
      <c r="H63" s="170"/>
      <c r="I63" s="143"/>
      <c r="J63" s="146"/>
      <c r="K63" s="20"/>
      <c r="L63" s="20"/>
      <c r="M63" s="20"/>
      <c r="N63" s="20"/>
    </row>
    <row r="64" spans="1:14" s="30" customFormat="1" ht="5.15">
      <c r="A64" s="43"/>
      <c r="B64" s="43"/>
      <c r="C64" s="5"/>
      <c r="D64" s="43"/>
      <c r="E64" s="43"/>
      <c r="F64" s="43"/>
      <c r="G64" s="43"/>
      <c r="H64" s="43"/>
      <c r="I64" s="5"/>
      <c r="J64" s="5"/>
      <c r="K64" s="5"/>
      <c r="L64" s="5"/>
      <c r="M64" s="5"/>
      <c r="N64" s="5"/>
    </row>
    <row r="65" spans="1:17">
      <c r="A65" s="171" t="s">
        <v>127</v>
      </c>
      <c r="B65" s="172"/>
      <c r="C65" s="172"/>
      <c r="D65" s="171" t="s">
        <v>128</v>
      </c>
      <c r="E65" s="172"/>
      <c r="F65" s="172"/>
      <c r="G65" s="172"/>
      <c r="H65" s="172"/>
      <c r="I65" s="2"/>
      <c r="J65" s="146"/>
      <c r="K65" s="20"/>
      <c r="L65" s="2"/>
      <c r="M65" s="165"/>
      <c r="N65" s="165"/>
    </row>
    <row r="66" spans="1:17" ht="31" customHeight="1">
      <c r="A66" s="857" t="s">
        <v>684</v>
      </c>
      <c r="B66" s="858"/>
      <c r="C66" s="858"/>
      <c r="D66" s="858"/>
      <c r="E66" s="858"/>
      <c r="F66" s="858"/>
      <c r="G66" s="858"/>
      <c r="H66" s="859"/>
      <c r="I66" s="143"/>
      <c r="J66" s="173"/>
      <c r="K66" s="174"/>
      <c r="L66" s="174"/>
      <c r="M66" s="174"/>
      <c r="N66" s="174"/>
      <c r="O66" s="175"/>
      <c r="P66" s="174"/>
      <c r="Q66" s="174"/>
    </row>
    <row r="67" spans="1:17" s="30" customFormat="1" ht="5.15">
      <c r="A67" s="68"/>
      <c r="B67" s="68"/>
      <c r="C67" s="68"/>
      <c r="D67" s="68"/>
      <c r="E67" s="68"/>
      <c r="F67" s="68"/>
      <c r="G67" s="68"/>
      <c r="H67" s="68"/>
      <c r="I67" s="5"/>
      <c r="J67" s="5"/>
      <c r="K67" s="5"/>
      <c r="L67" s="5"/>
      <c r="M67" s="5"/>
      <c r="N67" s="5"/>
    </row>
    <row r="68" spans="1:17" ht="27.75" customHeight="1">
      <c r="A68" s="847" t="s">
        <v>129</v>
      </c>
      <c r="B68" s="848"/>
      <c r="C68" s="848"/>
      <c r="D68" s="848"/>
      <c r="E68" s="848"/>
      <c r="F68" s="848"/>
      <c r="G68" s="848"/>
      <c r="H68" s="849"/>
      <c r="I68" s="143"/>
      <c r="J68" s="2"/>
      <c r="K68" s="2"/>
      <c r="L68" s="2"/>
      <c r="M68" s="2"/>
      <c r="N68" s="2"/>
    </row>
    <row r="69" spans="1:17" s="16" customFormat="1" ht="10.3">
      <c r="A69" s="79" t="s">
        <v>130</v>
      </c>
      <c r="B69" s="20"/>
      <c r="C69" s="20"/>
      <c r="D69" s="20"/>
      <c r="E69" s="20"/>
      <c r="F69" s="20"/>
      <c r="G69" s="20"/>
      <c r="H69" s="176" t="s">
        <v>131</v>
      </c>
      <c r="I69" s="177"/>
      <c r="J69" s="20"/>
      <c r="K69" s="20"/>
      <c r="L69" s="20"/>
      <c r="M69" s="20"/>
      <c r="N69" s="20"/>
    </row>
    <row r="70" spans="1:17" ht="14.15">
      <c r="A70" s="178" t="s">
        <v>132</v>
      </c>
      <c r="B70" s="850" t="s">
        <v>133</v>
      </c>
      <c r="C70" s="850"/>
      <c r="D70" s="850"/>
      <c r="E70" s="850"/>
      <c r="F70" s="179"/>
      <c r="G70" s="180" t="s">
        <v>134</v>
      </c>
      <c r="H70" s="181">
        <f>A2</f>
        <v>44238</v>
      </c>
      <c r="I70" s="143"/>
      <c r="J70" s="2"/>
      <c r="K70" s="2"/>
      <c r="L70" s="2"/>
      <c r="M70" s="2"/>
      <c r="N70" s="2"/>
    </row>
    <row r="71" spans="1:17">
      <c r="A71" s="182"/>
      <c r="B71" s="2"/>
      <c r="C71" s="2"/>
      <c r="D71" s="183"/>
      <c r="E71" s="2"/>
      <c r="F71" s="2"/>
      <c r="G71" s="2"/>
      <c r="H71" s="2"/>
      <c r="I71" s="143"/>
      <c r="J71" s="2"/>
      <c r="K71" s="2"/>
      <c r="L71" s="2"/>
      <c r="M71" s="2"/>
      <c r="N71" s="2"/>
    </row>
    <row r="72" spans="1:17" ht="14.6">
      <c r="A72" s="184"/>
      <c r="B72" s="185"/>
      <c r="C72" s="185"/>
      <c r="D72" s="185"/>
      <c r="E72" s="185"/>
      <c r="F72" s="185"/>
      <c r="G72" s="186"/>
      <c r="H72" s="2"/>
      <c r="I72" s="177"/>
      <c r="J72" s="20"/>
      <c r="K72" s="20"/>
      <c r="L72" s="2"/>
      <c r="M72" s="2"/>
      <c r="N72" s="2"/>
    </row>
    <row r="73" spans="1:17" ht="14.6">
      <c r="A73" s="187"/>
      <c r="B73" s="185"/>
      <c r="C73" s="185"/>
      <c r="D73" s="188"/>
      <c r="E73" s="185"/>
      <c r="F73" s="185"/>
      <c r="G73" s="186"/>
      <c r="H73" s="2"/>
      <c r="I73" s="2"/>
      <c r="J73" s="2"/>
      <c r="K73" s="2"/>
      <c r="L73" s="2"/>
      <c r="M73" s="2"/>
      <c r="N73" s="2"/>
    </row>
    <row r="74" spans="1:17" ht="14.6">
      <c r="A74" s="185"/>
      <c r="B74" s="185"/>
      <c r="C74" s="185"/>
      <c r="D74" s="185"/>
      <c r="E74" s="185"/>
      <c r="F74" s="185"/>
      <c r="G74" s="189"/>
      <c r="H74" s="2"/>
      <c r="I74" s="2"/>
      <c r="J74" s="2"/>
      <c r="K74" s="2"/>
      <c r="L74" s="2"/>
      <c r="M74" s="2"/>
      <c r="N74" s="2"/>
    </row>
    <row r="75" spans="1:17">
      <c r="A75" s="183"/>
      <c r="B75" s="2"/>
      <c r="C75" s="2"/>
      <c r="D75" s="190"/>
      <c r="E75" s="2"/>
      <c r="F75" s="2"/>
      <c r="G75" s="2"/>
      <c r="H75" s="2"/>
      <c r="I75" s="2"/>
      <c r="J75" s="20"/>
      <c r="K75" s="20"/>
      <c r="L75" s="2"/>
      <c r="M75" s="2"/>
      <c r="N75" s="2"/>
    </row>
    <row r="76" spans="1:17">
      <c r="I76" s="191"/>
      <c r="J76" s="172"/>
      <c r="K76" s="172"/>
      <c r="L76" s="172"/>
      <c r="M76" s="172"/>
      <c r="N76" s="172"/>
    </row>
  </sheetData>
  <mergeCells count="21">
    <mergeCell ref="A40:B40"/>
    <mergeCell ref="G40:H40"/>
    <mergeCell ref="A11:H11"/>
    <mergeCell ref="A13:H13"/>
    <mergeCell ref="B15:D15"/>
    <mergeCell ref="G15:H15"/>
    <mergeCell ref="B16:D16"/>
    <mergeCell ref="G16:H16"/>
    <mergeCell ref="B17:D17"/>
    <mergeCell ref="G17:H17"/>
    <mergeCell ref="B18:D18"/>
    <mergeCell ref="G18:H18"/>
    <mergeCell ref="A26:H26"/>
    <mergeCell ref="A68:H68"/>
    <mergeCell ref="B70:E70"/>
    <mergeCell ref="A41:B41"/>
    <mergeCell ref="A51:H51"/>
    <mergeCell ref="A53:B53"/>
    <mergeCell ref="D53:E53"/>
    <mergeCell ref="G53:H53"/>
    <mergeCell ref="A66:H66"/>
  </mergeCells>
  <printOptions horizontalCentered="1" verticalCentered="1"/>
  <pageMargins left="0.35433070866141736" right="0.35433070866141736" top="0.39370078740157483" bottom="0.39370078740157483" header="0.31496062992125984" footer="0.31496062992125984"/>
  <pageSetup scale="7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6"/>
  <sheetViews>
    <sheetView topLeftCell="A15" zoomScaleNormal="100" workbookViewId="0">
      <selection activeCell="A15" sqref="A15:M18"/>
    </sheetView>
  </sheetViews>
  <sheetFormatPr defaultColWidth="9.15234375" defaultRowHeight="12.45"/>
  <cols>
    <col min="1" max="1" width="9.15234375" style="6"/>
    <col min="2" max="2" width="35" style="6" customWidth="1"/>
    <col min="3" max="3" width="8.69140625" style="6" customWidth="1"/>
    <col min="4" max="4" width="8.3828125" style="6" customWidth="1"/>
    <col min="5" max="5" width="4.69140625" style="6" customWidth="1"/>
    <col min="6" max="6" width="6.69140625" style="6" customWidth="1"/>
    <col min="7" max="7" width="5.3046875" style="6" customWidth="1"/>
    <col min="8" max="8" width="9.53515625" style="6" hidden="1" customWidth="1"/>
    <col min="9" max="9" width="9.15234375" style="6" hidden="1" customWidth="1"/>
    <col min="10" max="10" width="0" style="6" hidden="1" customWidth="1"/>
    <col min="11" max="11" width="9.15234375" style="6"/>
    <col min="12" max="12" width="10.3046875" style="6" customWidth="1"/>
    <col min="13" max="16384" width="9.15234375" style="6"/>
  </cols>
  <sheetData>
    <row r="1" spans="1:14" hidden="1">
      <c r="F1" s="742" t="s">
        <v>524</v>
      </c>
    </row>
    <row r="2" spans="1:14" hidden="1">
      <c r="F2" s="742" t="s">
        <v>525</v>
      </c>
    </row>
    <row r="3" spans="1:14" hidden="1"/>
    <row r="4" spans="1:14" hidden="1">
      <c r="A4" s="742" t="s">
        <v>503</v>
      </c>
    </row>
    <row r="5" spans="1:14" hidden="1">
      <c r="A5" s="743">
        <v>40651</v>
      </c>
      <c r="B5" s="743" t="s">
        <v>526</v>
      </c>
      <c r="C5" s="743"/>
      <c r="D5" s="744" t="s">
        <v>527</v>
      </c>
      <c r="E5" s="744"/>
      <c r="F5" s="744" t="s">
        <v>528</v>
      </c>
      <c r="G5" s="744" t="s">
        <v>27</v>
      </c>
      <c r="H5" s="744" t="s">
        <v>529</v>
      </c>
    </row>
    <row r="6" spans="1:14" ht="14.15" hidden="1">
      <c r="A6" s="745" t="s">
        <v>530</v>
      </c>
      <c r="D6" s="6">
        <v>411.6</v>
      </c>
      <c r="F6" s="224">
        <f>D6/12</f>
        <v>34.300000000000004</v>
      </c>
      <c r="G6" s="746">
        <f>F6*0.3048</f>
        <v>10.454640000000001</v>
      </c>
      <c r="H6" s="747">
        <v>260</v>
      </c>
      <c r="I6" s="6">
        <v>-110.4042</v>
      </c>
      <c r="J6" s="6">
        <f>I6+90</f>
        <v>-20.404200000000003</v>
      </c>
    </row>
    <row r="7" spans="1:14" hidden="1">
      <c r="A7" s="6" t="s">
        <v>36</v>
      </c>
      <c r="D7" s="6">
        <v>144</v>
      </c>
      <c r="F7" s="224">
        <f>D7/12</f>
        <v>12</v>
      </c>
      <c r="G7" s="746">
        <f>F7*0.3048</f>
        <v>3.6576000000000004</v>
      </c>
      <c r="H7" s="748">
        <f>G7*H6/G6</f>
        <v>90.962099125364432</v>
      </c>
    </row>
    <row r="8" spans="1:14" hidden="1">
      <c r="A8" s="6" t="s">
        <v>531</v>
      </c>
      <c r="D8" s="6">
        <v>90</v>
      </c>
      <c r="F8" s="749">
        <f>D8/12</f>
        <v>7.5</v>
      </c>
      <c r="G8" s="750">
        <f>F8*0.3048</f>
        <v>2.286</v>
      </c>
      <c r="H8" s="748">
        <f>G8*H6/G6</f>
        <v>56.851311953352763</v>
      </c>
    </row>
    <row r="9" spans="1:14" hidden="1">
      <c r="A9" s="751" t="s">
        <v>532</v>
      </c>
      <c r="F9" s="749">
        <f>3.280839*G9</f>
        <v>13.602347289278649</v>
      </c>
      <c r="G9" s="749">
        <f>H9*G6/H6</f>
        <v>4.1459965848000007</v>
      </c>
      <c r="H9" s="748">
        <v>103.1082</v>
      </c>
    </row>
    <row r="10" spans="1:14" hidden="1">
      <c r="A10" s="752" t="s">
        <v>533</v>
      </c>
      <c r="F10" s="749">
        <f>3.280839*G10</f>
        <v>0.71126307519814935</v>
      </c>
      <c r="G10" s="749">
        <f>H10*G6/H6</f>
        <v>0.21679304446153846</v>
      </c>
      <c r="H10" s="748">
        <v>5.3914999999999997</v>
      </c>
    </row>
    <row r="11" spans="1:14" hidden="1">
      <c r="A11" s="753" t="s">
        <v>534</v>
      </c>
      <c r="F11" s="749">
        <f>3.280839*G11</f>
        <v>30.253462439160888</v>
      </c>
      <c r="G11" s="749">
        <f>H11*G6/H6</f>
        <v>9.2212578670153853</v>
      </c>
      <c r="H11" s="748">
        <v>229.32660000000001</v>
      </c>
      <c r="I11" s="6">
        <v>92.965699999999998</v>
      </c>
      <c r="J11" s="6">
        <f>I11-90</f>
        <v>2.9656999999999982</v>
      </c>
    </row>
    <row r="12" spans="1:14" hidden="1">
      <c r="A12" s="754" t="s">
        <v>535</v>
      </c>
      <c r="F12" s="749">
        <f>3.280839*G12</f>
        <v>1.8284269627434504</v>
      </c>
      <c r="G12" s="749">
        <f>H12*G6/H6</f>
        <v>0.5573046902769232</v>
      </c>
      <c r="H12" s="748">
        <v>13.8598</v>
      </c>
    </row>
    <row r="13" spans="1:14" ht="14.15" hidden="1">
      <c r="A13" s="745" t="s">
        <v>536</v>
      </c>
      <c r="B13" s="755" t="s">
        <v>537</v>
      </c>
      <c r="C13" s="755"/>
      <c r="F13" s="749">
        <f>3.280839*G13</f>
        <v>-5.6242954285714276E-2</v>
      </c>
      <c r="G13" s="749">
        <v>-1.714285714285714E-2</v>
      </c>
      <c r="H13" s="748">
        <f>-1*G13*H6/G6</f>
        <v>0.42633154820661984</v>
      </c>
    </row>
    <row r="14" spans="1:14" ht="14.15" hidden="1">
      <c r="A14" s="756"/>
      <c r="B14" s="757"/>
      <c r="C14" s="757"/>
      <c r="D14" s="2"/>
      <c r="E14" s="2"/>
      <c r="F14" s="119"/>
      <c r="G14" s="119"/>
      <c r="H14" s="339"/>
      <c r="I14" s="2"/>
      <c r="J14" s="2"/>
      <c r="K14" s="2"/>
      <c r="L14" s="2"/>
      <c r="M14" s="2"/>
      <c r="N14" s="2"/>
    </row>
    <row r="15" spans="1:14" ht="20.149999999999999">
      <c r="A15" s="924" t="s">
        <v>538</v>
      </c>
      <c r="B15" s="925"/>
      <c r="C15" s="926"/>
      <c r="D15" s="758"/>
      <c r="E15" s="758"/>
      <c r="F15" s="758"/>
      <c r="G15" s="758"/>
      <c r="H15" s="758"/>
      <c r="I15" s="758"/>
      <c r="J15" s="758"/>
      <c r="K15" s="758"/>
      <c r="L15" s="758"/>
      <c r="M15" s="758"/>
      <c r="N15" s="2"/>
    </row>
    <row r="16" spans="1:14" s="30" customFormat="1" ht="5.15">
      <c r="A16" s="759"/>
      <c r="B16" s="760"/>
      <c r="C16" s="760"/>
      <c r="D16" s="5"/>
      <c r="E16" s="5"/>
      <c r="F16" s="142"/>
      <c r="G16" s="142"/>
      <c r="H16" s="441"/>
      <c r="I16" s="5"/>
      <c r="J16" s="5"/>
      <c r="K16" s="5"/>
      <c r="L16" s="5"/>
      <c r="M16" s="5"/>
      <c r="N16" s="5"/>
    </row>
    <row r="17" spans="1:14">
      <c r="A17" s="927" t="s">
        <v>539</v>
      </c>
      <c r="B17" s="885"/>
      <c r="C17" s="885"/>
      <c r="D17" s="885"/>
      <c r="E17" s="885"/>
      <c r="F17" s="885"/>
      <c r="G17" s="885"/>
      <c r="H17" s="885"/>
      <c r="I17" s="885"/>
      <c r="J17" s="885"/>
      <c r="K17" s="885"/>
      <c r="L17" s="885"/>
      <c r="M17" s="885"/>
      <c r="N17" s="2"/>
    </row>
    <row r="18" spans="1:14" s="30" customFormat="1" ht="5.15">
      <c r="A18" s="5"/>
      <c r="B18" s="928"/>
      <c r="C18" s="928"/>
      <c r="D18" s="928"/>
      <c r="E18" s="928"/>
      <c r="F18" s="928"/>
      <c r="G18" s="928"/>
      <c r="H18" s="928"/>
      <c r="I18" s="5"/>
      <c r="J18" s="5"/>
      <c r="K18" s="5"/>
      <c r="L18" s="5"/>
      <c r="M18" s="5"/>
      <c r="N18" s="5"/>
    </row>
    <row r="19" spans="1:14" ht="29.25" customHeight="1">
      <c r="A19" s="929" t="s">
        <v>540</v>
      </c>
      <c r="B19" s="930"/>
      <c r="C19" s="761" t="s">
        <v>541</v>
      </c>
      <c r="D19" s="761" t="s">
        <v>542</v>
      </c>
      <c r="E19" s="761" t="s">
        <v>543</v>
      </c>
      <c r="F19" s="70" t="s">
        <v>27</v>
      </c>
      <c r="G19" s="762" t="s">
        <v>528</v>
      </c>
      <c r="H19" s="763" t="s">
        <v>529</v>
      </c>
      <c r="I19" s="2"/>
      <c r="J19" s="2"/>
      <c r="K19" s="2"/>
      <c r="L19" s="2"/>
      <c r="M19" s="2"/>
      <c r="N19" s="2"/>
    </row>
    <row r="20" spans="1:14">
      <c r="A20" s="90">
        <f>F20*F21/2</f>
        <v>19.119445632000005</v>
      </c>
      <c r="B20" s="764" t="s">
        <v>544</v>
      </c>
      <c r="C20" s="765" t="s">
        <v>545</v>
      </c>
      <c r="D20" s="766" t="s">
        <v>546</v>
      </c>
      <c r="E20" s="767" t="s">
        <v>547</v>
      </c>
      <c r="F20" s="768">
        <f>G20*0.3048</f>
        <v>10.454640000000001</v>
      </c>
      <c r="G20" s="371">
        <f>411.6/12</f>
        <v>34.300000000000004</v>
      </c>
      <c r="H20" s="769">
        <v>260</v>
      </c>
      <c r="I20" s="2"/>
      <c r="J20" s="2"/>
      <c r="K20" s="2"/>
      <c r="L20" s="2"/>
      <c r="M20" s="2"/>
      <c r="N20" s="2"/>
    </row>
    <row r="21" spans="1:14">
      <c r="A21" s="90">
        <f>(2/3)*F22*F23</f>
        <v>1.05290112</v>
      </c>
      <c r="B21" s="770" t="s">
        <v>548</v>
      </c>
      <c r="C21" s="144" t="s">
        <v>36</v>
      </c>
      <c r="D21" s="2" t="s">
        <v>549</v>
      </c>
      <c r="E21" s="20" t="s">
        <v>36</v>
      </c>
      <c r="F21" s="768">
        <f>G21*0.3048</f>
        <v>3.6576000000000004</v>
      </c>
      <c r="G21" s="371">
        <f>144/12</f>
        <v>12</v>
      </c>
      <c r="H21" s="2"/>
      <c r="I21" s="2"/>
      <c r="J21" s="2"/>
      <c r="K21" s="2"/>
      <c r="L21" s="2"/>
      <c r="M21" s="2"/>
      <c r="N21" s="2"/>
    </row>
    <row r="22" spans="1:14">
      <c r="A22" s="90">
        <f>F26*F25*2/3</f>
        <v>2.9438150781522974</v>
      </c>
      <c r="B22" s="771" t="s">
        <v>550</v>
      </c>
      <c r="C22" s="772" t="s">
        <v>551</v>
      </c>
      <c r="D22" s="773" t="s">
        <v>552</v>
      </c>
      <c r="E22" s="774"/>
      <c r="F22" s="775">
        <f>G22*0.3048</f>
        <v>4.1452800000000005</v>
      </c>
      <c r="G22" s="371">
        <v>13.6</v>
      </c>
      <c r="H22" s="2"/>
      <c r="I22" s="2"/>
      <c r="J22" s="2"/>
      <c r="K22" s="2"/>
      <c r="L22" s="2"/>
      <c r="M22" s="2"/>
      <c r="N22" s="2"/>
    </row>
    <row r="23" spans="1:14">
      <c r="A23" s="90">
        <f>F20*F28*(2/3)</f>
        <v>-0.11947275845350894</v>
      </c>
      <c r="B23" s="776" t="s">
        <v>553</v>
      </c>
      <c r="C23" s="772" t="s">
        <v>554</v>
      </c>
      <c r="D23" s="773" t="s">
        <v>555</v>
      </c>
      <c r="E23" s="774"/>
      <c r="F23" s="775">
        <f>G23*0.3048</f>
        <v>0.38100000000000001</v>
      </c>
      <c r="G23" s="371">
        <v>1.25</v>
      </c>
      <c r="H23" s="339">
        <f>F23*H20/F20</f>
        <v>9.4752186588921266</v>
      </c>
      <c r="I23" s="2"/>
      <c r="J23" s="2"/>
      <c r="K23" s="2"/>
      <c r="L23" s="2"/>
      <c r="M23" s="2"/>
      <c r="N23" s="2"/>
    </row>
    <row r="24" spans="1:14">
      <c r="A24" s="90">
        <f>F27*F25/2</f>
        <v>1.3210216987597174</v>
      </c>
      <c r="B24" s="777" t="s">
        <v>556</v>
      </c>
      <c r="C24" s="778" t="s">
        <v>557</v>
      </c>
      <c r="D24" s="779" t="s">
        <v>558</v>
      </c>
      <c r="E24" s="780"/>
      <c r="F24" s="119">
        <f>H24*F20/H20</f>
        <v>9.2212578670153853</v>
      </c>
      <c r="G24" s="371">
        <f>F24*3.2808399</f>
        <v>30.253470738292972</v>
      </c>
      <c r="H24" s="339">
        <v>229.32660000000001</v>
      </c>
      <c r="I24" s="2"/>
      <c r="J24" s="2"/>
      <c r="K24" s="2"/>
      <c r="L24" s="2"/>
      <c r="M24" s="2"/>
      <c r="N24" s="2"/>
    </row>
    <row r="25" spans="1:14">
      <c r="A25" s="90"/>
      <c r="B25" s="777"/>
      <c r="C25" s="781" t="s">
        <v>559</v>
      </c>
      <c r="D25" s="782" t="s">
        <v>560</v>
      </c>
      <c r="E25" s="783"/>
      <c r="F25" s="775">
        <f>H25*F20/H20</f>
        <v>9.3865537674461557</v>
      </c>
      <c r="G25" s="371">
        <f>F25*3.2808399</f>
        <v>30.795780123732669</v>
      </c>
      <c r="H25" s="339">
        <v>233.4374</v>
      </c>
      <c r="I25" s="2"/>
      <c r="J25" s="2"/>
      <c r="K25" s="2"/>
      <c r="L25" s="2"/>
      <c r="M25" s="2"/>
      <c r="N25" s="2"/>
    </row>
    <row r="26" spans="1:14">
      <c r="A26" s="90"/>
      <c r="B26" s="776"/>
      <c r="C26" s="784" t="s">
        <v>561</v>
      </c>
      <c r="D26" s="785" t="s">
        <v>562</v>
      </c>
      <c r="E26" s="786" t="s">
        <v>563</v>
      </c>
      <c r="F26" s="775">
        <f>H26*F20/H20</f>
        <v>0.47043065289230773</v>
      </c>
      <c r="G26" s="371">
        <f>F26*3.2808399</f>
        <v>1.5434076561921337</v>
      </c>
      <c r="H26" s="339">
        <v>11.699299999999999</v>
      </c>
      <c r="I26" s="2"/>
      <c r="J26" s="2"/>
      <c r="K26" s="2"/>
      <c r="L26" s="2"/>
      <c r="M26" s="2"/>
      <c r="N26" s="2"/>
    </row>
    <row r="27" spans="1:14">
      <c r="A27" s="2"/>
      <c r="B27" s="2"/>
      <c r="C27" s="787" t="s">
        <v>564</v>
      </c>
      <c r="D27" s="788" t="s">
        <v>565</v>
      </c>
      <c r="E27" s="789"/>
      <c r="F27" s="775">
        <f>H27*F20/H20</f>
        <v>0.28147107692307699</v>
      </c>
      <c r="G27" s="371">
        <f>F27*3.2808399</f>
        <v>0.9234615398652003</v>
      </c>
      <c r="H27" s="339">
        <v>7</v>
      </c>
      <c r="I27" s="2">
        <v>89.636700000000005</v>
      </c>
      <c r="J27" s="2">
        <f>I27-90</f>
        <v>-0.36329999999999529</v>
      </c>
      <c r="K27" s="2"/>
      <c r="L27" s="2"/>
      <c r="M27" s="2"/>
      <c r="N27" s="2"/>
    </row>
    <row r="28" spans="1:14">
      <c r="A28" s="790"/>
      <c r="B28" s="791"/>
      <c r="C28" s="765" t="s">
        <v>566</v>
      </c>
      <c r="D28" s="766" t="s">
        <v>567</v>
      </c>
      <c r="E28" s="767"/>
      <c r="F28" s="775">
        <f>H28*F20/H20</f>
        <v>-1.7141588584615387E-2</v>
      </c>
      <c r="G28" s="371">
        <f>F28*3.2808399</f>
        <v>-5.6238807777790688E-2</v>
      </c>
      <c r="H28" s="339">
        <v>-0.42630000000000001</v>
      </c>
      <c r="I28" s="2" t="e">
        <f>#REF!-90</f>
        <v>#REF!</v>
      </c>
      <c r="J28" s="2"/>
      <c r="K28" s="2"/>
      <c r="L28" s="2"/>
      <c r="M28" s="2"/>
      <c r="N28" s="2"/>
    </row>
    <row r="29" spans="1:14">
      <c r="A29" s="2"/>
      <c r="B29" s="439"/>
      <c r="C29" s="48"/>
      <c r="D29" s="792" t="s">
        <v>568</v>
      </c>
      <c r="E29" s="793" t="s">
        <v>569</v>
      </c>
      <c r="F29" s="775">
        <f>G29*0.3048</f>
        <v>2.286</v>
      </c>
      <c r="G29" s="371">
        <f>90/12</f>
        <v>7.5</v>
      </c>
      <c r="H29" s="339">
        <f>F29*H20/F20</f>
        <v>56.851311953352763</v>
      </c>
      <c r="I29" s="2"/>
      <c r="J29" s="2"/>
      <c r="K29" s="2"/>
      <c r="L29" s="2"/>
      <c r="M29" s="2"/>
      <c r="N29" s="2"/>
    </row>
    <row r="30" spans="1:14" s="30" customFormat="1" ht="5.15">
      <c r="A30" s="794"/>
      <c r="B30" s="445"/>
      <c r="C30" s="445"/>
      <c r="D30" s="5"/>
      <c r="E30" s="5"/>
      <c r="F30" s="5"/>
      <c r="G30" s="5"/>
      <c r="H30" s="5"/>
      <c r="I30" s="5"/>
      <c r="J30" s="5"/>
      <c r="K30" s="5"/>
      <c r="L30" s="5"/>
      <c r="M30" s="5"/>
      <c r="N30" s="5"/>
    </row>
    <row r="31" spans="1:14" ht="18">
      <c r="A31" s="795">
        <f>SUM(A20:A25)</f>
        <v>24.317710770458515</v>
      </c>
      <c r="B31" s="796" t="s">
        <v>570</v>
      </c>
      <c r="C31" s="796"/>
      <c r="D31" s="2"/>
      <c r="E31" s="2"/>
      <c r="F31" s="2"/>
      <c r="G31" s="2"/>
      <c r="H31" s="2"/>
      <c r="I31" s="2"/>
      <c r="J31" s="2"/>
      <c r="K31" s="2"/>
      <c r="L31" s="2"/>
      <c r="M31" s="2"/>
      <c r="N31" s="2"/>
    </row>
    <row r="32" spans="1:14">
      <c r="A32" s="797">
        <f>(A31/A20)</f>
        <v>1.2718836747943272</v>
      </c>
      <c r="B32" s="798" t="s">
        <v>571</v>
      </c>
      <c r="C32" s="799"/>
      <c r="D32" s="2"/>
      <c r="E32" s="2"/>
      <c r="F32" s="2"/>
      <c r="G32" s="2"/>
      <c r="H32" s="2"/>
      <c r="I32" s="2"/>
      <c r="J32" s="2"/>
      <c r="K32" s="2"/>
      <c r="L32" s="2"/>
      <c r="M32" s="2"/>
      <c r="N32" s="2"/>
    </row>
    <row r="33" spans="1:14" s="30" customFormat="1" ht="5.15">
      <c r="A33" s="5"/>
      <c r="B33" s="5"/>
      <c r="C33" s="5"/>
      <c r="D33" s="5"/>
      <c r="E33" s="5"/>
      <c r="F33" s="5"/>
      <c r="G33" s="5"/>
      <c r="H33" s="5"/>
      <c r="I33" s="5"/>
      <c r="J33" s="5"/>
      <c r="K33" s="5"/>
      <c r="L33" s="5"/>
      <c r="M33" s="5"/>
      <c r="N33" s="5"/>
    </row>
    <row r="34" spans="1:14" ht="17.600000000000001">
      <c r="A34" s="800">
        <f>A31*10.7639104</f>
        <v>261.75365986633045</v>
      </c>
      <c r="B34" s="801" t="s">
        <v>572</v>
      </c>
      <c r="C34" s="802"/>
      <c r="D34" s="2"/>
      <c r="E34" s="2"/>
      <c r="F34" s="2"/>
      <c r="G34" s="2"/>
      <c r="H34" s="2"/>
      <c r="I34" s="2"/>
      <c r="J34" s="2"/>
      <c r="K34" s="2"/>
      <c r="L34" s="2"/>
      <c r="M34" s="2"/>
      <c r="N34" s="2"/>
    </row>
    <row r="35" spans="1:14">
      <c r="A35" s="803">
        <f>G20*G21/2</f>
        <v>205.8</v>
      </c>
      <c r="B35" s="439" t="s">
        <v>573</v>
      </c>
      <c r="C35" s="804"/>
      <c r="D35" s="2"/>
      <c r="E35" s="2"/>
      <c r="F35" s="2"/>
      <c r="G35" s="2"/>
      <c r="H35" s="2"/>
      <c r="I35" s="2"/>
      <c r="J35" s="2"/>
      <c r="K35" s="2"/>
      <c r="L35" s="2"/>
      <c r="M35" s="2"/>
      <c r="N35" s="2"/>
    </row>
    <row r="36" spans="1:14" hidden="1">
      <c r="C36" s="2"/>
      <c r="D36" s="2"/>
      <c r="E36" s="2"/>
      <c r="F36" s="2"/>
      <c r="G36" s="2"/>
      <c r="H36" s="2"/>
      <c r="I36" s="2"/>
      <c r="J36" s="2"/>
      <c r="K36" s="2"/>
      <c r="L36" s="2"/>
      <c r="M36" s="2"/>
      <c r="N36" s="2"/>
    </row>
    <row r="37" spans="1:14" hidden="1">
      <c r="A37" s="803">
        <v>214</v>
      </c>
      <c r="B37" s="439" t="s">
        <v>574</v>
      </c>
      <c r="C37" s="2"/>
      <c r="D37" s="2"/>
      <c r="E37" s="2"/>
      <c r="F37" s="2"/>
      <c r="G37" s="2"/>
      <c r="H37" s="2"/>
      <c r="I37" s="2"/>
      <c r="J37" s="2"/>
      <c r="K37" s="2"/>
      <c r="L37" s="2"/>
      <c r="M37" s="2"/>
      <c r="N37" s="2"/>
    </row>
    <row r="38" spans="1:14" hidden="1">
      <c r="A38" s="2"/>
      <c r="B38" s="2"/>
      <c r="C38" s="2"/>
      <c r="D38" s="2"/>
      <c r="E38" s="2"/>
      <c r="F38" s="2"/>
      <c r="G38" s="2"/>
      <c r="H38" s="2"/>
      <c r="I38" s="2"/>
      <c r="J38" s="2"/>
      <c r="K38" s="2"/>
      <c r="L38" s="2"/>
      <c r="M38" s="2"/>
      <c r="N38" s="2"/>
    </row>
    <row r="39" spans="1:14">
      <c r="A39" s="805" t="s">
        <v>575</v>
      </c>
      <c r="B39" s="439" t="s">
        <v>576</v>
      </c>
      <c r="C39" s="2"/>
      <c r="D39" s="2"/>
      <c r="E39" s="2"/>
      <c r="F39" s="2"/>
      <c r="G39" s="2"/>
      <c r="H39" s="2"/>
      <c r="I39" s="2"/>
      <c r="J39" s="2"/>
      <c r="K39" s="2"/>
      <c r="L39" s="2"/>
      <c r="M39" s="2"/>
      <c r="N39" s="2"/>
    </row>
    <row r="40" spans="1:14">
      <c r="A40" s="2"/>
      <c r="B40" s="2"/>
      <c r="C40" s="2"/>
      <c r="D40" s="2"/>
      <c r="E40" s="2"/>
      <c r="F40" s="2"/>
      <c r="G40" s="2"/>
      <c r="H40" s="2"/>
      <c r="I40" s="2"/>
      <c r="J40" s="2"/>
      <c r="K40" s="2"/>
      <c r="L40" s="2"/>
      <c r="M40" s="2"/>
      <c r="N40" s="2"/>
    </row>
    <row r="41" spans="1:14">
      <c r="A41" s="931" t="s">
        <v>577</v>
      </c>
      <c r="B41" s="932"/>
      <c r="C41" s="2"/>
      <c r="D41" s="2"/>
      <c r="E41" s="2"/>
      <c r="F41" s="2"/>
      <c r="G41" s="2"/>
      <c r="H41" s="2"/>
      <c r="I41" s="2"/>
      <c r="J41" s="2"/>
      <c r="K41" s="2"/>
      <c r="L41" s="2"/>
      <c r="M41" s="2"/>
      <c r="N41" s="2"/>
    </row>
    <row r="42" spans="1:14">
      <c r="A42" s="48" t="s">
        <v>578</v>
      </c>
      <c r="B42" s="40"/>
      <c r="C42" s="806"/>
      <c r="D42" s="806"/>
      <c r="E42" s="806"/>
      <c r="F42" s="806"/>
      <c r="G42" s="806"/>
      <c r="H42" s="2"/>
      <c r="I42" s="2"/>
      <c r="J42" s="2"/>
      <c r="K42" s="2"/>
      <c r="L42" s="2"/>
      <c r="M42" s="2"/>
      <c r="N42" s="2"/>
    </row>
    <row r="43" spans="1:14">
      <c r="A43" s="2"/>
      <c r="B43" s="2"/>
      <c r="C43" s="2"/>
      <c r="D43" s="2"/>
      <c r="E43" s="2"/>
      <c r="F43" s="2"/>
      <c r="G43" s="2"/>
      <c r="H43" s="2"/>
      <c r="I43" s="2"/>
      <c r="J43" s="2"/>
      <c r="K43" s="2"/>
      <c r="L43" s="2"/>
      <c r="M43" s="2"/>
      <c r="N43" s="2"/>
    </row>
    <row r="44" spans="1:14">
      <c r="A44" s="2"/>
      <c r="B44" s="2"/>
      <c r="C44" s="2"/>
      <c r="D44" s="2"/>
      <c r="E44" s="2"/>
      <c r="F44" s="2"/>
      <c r="G44" s="2"/>
      <c r="H44" s="2"/>
      <c r="I44" s="2"/>
      <c r="J44" s="2"/>
      <c r="K44" s="2"/>
      <c r="L44" s="2"/>
      <c r="M44" s="2"/>
      <c r="N44" s="2"/>
    </row>
    <row r="45" spans="1:14">
      <c r="A45" s="2"/>
      <c r="B45" s="2"/>
      <c r="C45" s="2"/>
      <c r="D45" s="2"/>
      <c r="E45" s="2"/>
      <c r="F45" s="2"/>
      <c r="G45" s="2"/>
      <c r="H45" s="2"/>
      <c r="I45" s="2"/>
      <c r="J45" s="2"/>
      <c r="K45" s="2"/>
      <c r="L45" s="2"/>
      <c r="M45" s="2"/>
      <c r="N45" s="2"/>
    </row>
    <row r="46" spans="1:14">
      <c r="A46" s="2"/>
      <c r="B46" s="2"/>
      <c r="C46" s="2"/>
      <c r="D46" s="2"/>
      <c r="E46" s="2"/>
      <c r="F46" s="2"/>
      <c r="G46" s="2"/>
      <c r="H46" s="2"/>
      <c r="I46" s="2"/>
      <c r="J46" s="2"/>
      <c r="K46" s="2"/>
      <c r="L46" s="2"/>
      <c r="M46" s="2"/>
      <c r="N46" s="2"/>
    </row>
    <row r="47" spans="1:14">
      <c r="A47" s="2"/>
      <c r="B47" s="2"/>
      <c r="C47" s="2"/>
      <c r="D47" s="2"/>
      <c r="E47" s="2"/>
      <c r="F47" s="2"/>
      <c r="G47" s="2"/>
      <c r="H47" s="2"/>
      <c r="I47" s="2"/>
      <c r="J47" s="2"/>
      <c r="K47" s="2"/>
      <c r="L47" s="2"/>
      <c r="M47" s="2"/>
      <c r="N47" s="2"/>
    </row>
    <row r="48" spans="1:14">
      <c r="A48" s="2"/>
      <c r="B48" s="2"/>
      <c r="C48" s="2"/>
      <c r="D48" s="2"/>
      <c r="E48" s="2"/>
      <c r="F48" s="2"/>
      <c r="G48" s="2"/>
      <c r="H48" s="2"/>
      <c r="I48" s="2"/>
      <c r="J48" s="2"/>
      <c r="K48" s="2"/>
      <c r="L48" s="2"/>
      <c r="M48" s="2"/>
      <c r="N48" s="2"/>
    </row>
    <row r="49" spans="1:14">
      <c r="A49" s="2"/>
      <c r="B49" s="2"/>
      <c r="C49" s="2"/>
      <c r="D49" s="2"/>
      <c r="E49" s="2"/>
      <c r="F49" s="2"/>
      <c r="G49" s="2"/>
      <c r="H49" s="2"/>
      <c r="I49" s="2"/>
      <c r="J49" s="2"/>
      <c r="K49" s="2"/>
      <c r="L49" s="2"/>
      <c r="M49" s="2"/>
      <c r="N49" s="2"/>
    </row>
    <row r="50" spans="1:14">
      <c r="A50" s="2"/>
      <c r="B50" s="2"/>
      <c r="C50" s="2"/>
      <c r="D50" s="2"/>
      <c r="E50" s="2"/>
      <c r="F50" s="2"/>
      <c r="G50" s="2"/>
      <c r="H50" s="2"/>
      <c r="I50" s="2"/>
      <c r="J50" s="2"/>
      <c r="K50" s="2"/>
      <c r="L50" s="2"/>
      <c r="M50" s="2"/>
      <c r="N50" s="2"/>
    </row>
    <row r="51" spans="1:14">
      <c r="A51" s="2"/>
      <c r="B51" s="2"/>
      <c r="C51" s="2"/>
      <c r="D51" s="2"/>
      <c r="E51" s="2"/>
      <c r="F51" s="2"/>
      <c r="G51" s="2"/>
      <c r="H51" s="2"/>
      <c r="I51" s="2"/>
      <c r="J51" s="2"/>
      <c r="K51" s="2"/>
      <c r="L51" s="2"/>
      <c r="M51" s="2"/>
      <c r="N51" s="2"/>
    </row>
    <row r="52" spans="1:14">
      <c r="A52" s="2"/>
      <c r="B52" s="2"/>
      <c r="C52" s="2"/>
      <c r="D52" s="2"/>
      <c r="E52" s="2"/>
      <c r="F52" s="2"/>
      <c r="G52" s="2"/>
      <c r="H52" s="2"/>
      <c r="I52" s="2"/>
      <c r="J52" s="2"/>
      <c r="K52" s="2"/>
      <c r="L52" s="2"/>
      <c r="M52" s="2"/>
      <c r="N52" s="2"/>
    </row>
    <row r="53" spans="1:14">
      <c r="A53" s="2"/>
      <c r="B53" s="2"/>
      <c r="C53" s="2"/>
      <c r="D53" s="2"/>
      <c r="E53" s="2"/>
      <c r="F53" s="2"/>
      <c r="G53" s="2"/>
      <c r="H53" s="2"/>
      <c r="I53" s="2"/>
      <c r="J53" s="2"/>
      <c r="K53" s="2"/>
      <c r="L53" s="2"/>
      <c r="M53" s="2"/>
      <c r="N53" s="2"/>
    </row>
    <row r="54" spans="1:14">
      <c r="A54" s="2"/>
      <c r="B54" s="2"/>
      <c r="C54" s="2"/>
      <c r="D54" s="2"/>
      <c r="E54" s="2"/>
      <c r="F54" s="2"/>
      <c r="G54" s="2"/>
      <c r="H54" s="2"/>
      <c r="I54" s="2"/>
      <c r="J54" s="2"/>
      <c r="K54" s="2"/>
      <c r="L54" s="2"/>
      <c r="M54" s="2"/>
      <c r="N54" s="2"/>
    </row>
    <row r="55" spans="1:14">
      <c r="A55" s="2"/>
      <c r="B55" s="2"/>
      <c r="C55" s="2"/>
      <c r="D55" s="2"/>
      <c r="E55" s="2"/>
      <c r="F55" s="2"/>
      <c r="G55" s="2"/>
      <c r="H55" s="2"/>
      <c r="I55" s="2"/>
      <c r="J55" s="2"/>
      <c r="K55" s="2"/>
      <c r="L55" s="2"/>
      <c r="M55" s="2"/>
      <c r="N55" s="2"/>
    </row>
    <row r="56" spans="1:14">
      <c r="A56" s="2"/>
      <c r="B56" s="2"/>
      <c r="C56" s="2"/>
      <c r="D56" s="2"/>
      <c r="E56" s="2"/>
      <c r="F56" s="2"/>
      <c r="G56" s="2"/>
      <c r="H56" s="2"/>
      <c r="I56" s="2"/>
      <c r="J56" s="2"/>
      <c r="K56" s="2"/>
      <c r="L56" s="2"/>
      <c r="M56" s="2"/>
      <c r="N56" s="2"/>
    </row>
    <row r="57" spans="1:14">
      <c r="A57" s="2"/>
      <c r="B57" s="2"/>
      <c r="C57" s="2"/>
      <c r="D57" s="2"/>
      <c r="E57" s="2"/>
      <c r="F57" s="2"/>
      <c r="G57" s="2"/>
      <c r="H57" s="2"/>
      <c r="I57" s="2"/>
      <c r="J57" s="2"/>
      <c r="K57" s="2"/>
      <c r="L57" s="2"/>
      <c r="M57" s="2"/>
      <c r="N57" s="2"/>
    </row>
    <row r="58" spans="1:14">
      <c r="A58" s="2"/>
      <c r="B58" s="2"/>
      <c r="C58" s="2"/>
      <c r="D58" s="2"/>
      <c r="E58" s="2"/>
      <c r="F58" s="2"/>
      <c r="G58" s="2"/>
      <c r="H58" s="2"/>
      <c r="I58" s="2"/>
      <c r="J58" s="2"/>
      <c r="K58" s="2"/>
      <c r="L58" s="2"/>
      <c r="M58" s="2"/>
      <c r="N58" s="2"/>
    </row>
    <row r="59" spans="1:14">
      <c r="A59" s="2"/>
      <c r="B59" s="2"/>
      <c r="C59" s="2"/>
      <c r="D59" s="2"/>
      <c r="E59" s="2"/>
      <c r="F59" s="2"/>
      <c r="G59" s="2"/>
      <c r="H59" s="2"/>
      <c r="I59" s="2"/>
      <c r="J59" s="2"/>
      <c r="K59" s="2"/>
      <c r="L59" s="2"/>
      <c r="M59" s="2"/>
      <c r="N59" s="2"/>
    </row>
    <row r="60" spans="1:14">
      <c r="A60" s="2"/>
      <c r="B60" s="2"/>
      <c r="C60" s="2"/>
      <c r="D60" s="2"/>
      <c r="E60" s="2"/>
      <c r="F60" s="2"/>
      <c r="G60" s="2"/>
      <c r="H60" s="2"/>
      <c r="I60" s="2"/>
      <c r="J60" s="2"/>
      <c r="K60" s="2"/>
      <c r="L60" s="2"/>
      <c r="M60" s="2"/>
      <c r="N60" s="2"/>
    </row>
    <row r="61" spans="1:14">
      <c r="A61" s="2"/>
      <c r="B61" s="2"/>
      <c r="C61" s="2"/>
      <c r="D61" s="2"/>
      <c r="E61" s="2"/>
      <c r="F61" s="2"/>
      <c r="G61" s="2"/>
      <c r="H61" s="2"/>
      <c r="I61" s="2"/>
      <c r="J61" s="2"/>
      <c r="K61" s="2"/>
      <c r="L61" s="2"/>
      <c r="M61" s="2"/>
      <c r="N61" s="2"/>
    </row>
    <row r="62" spans="1:14">
      <c r="A62" s="2"/>
      <c r="B62" s="2"/>
      <c r="C62" s="2"/>
      <c r="D62" s="2"/>
      <c r="E62" s="2"/>
      <c r="F62" s="2"/>
      <c r="G62" s="2"/>
      <c r="H62" s="2"/>
      <c r="I62" s="2"/>
      <c r="J62" s="2"/>
      <c r="K62" s="2"/>
      <c r="L62" s="2"/>
      <c r="M62" s="2"/>
      <c r="N62" s="2"/>
    </row>
    <row r="63" spans="1:14">
      <c r="A63" s="2"/>
      <c r="B63" s="2"/>
      <c r="C63" s="2"/>
      <c r="D63" s="2"/>
      <c r="E63" s="2"/>
      <c r="F63" s="2"/>
      <c r="G63" s="2"/>
      <c r="H63" s="2"/>
      <c r="I63" s="2"/>
      <c r="J63" s="2"/>
      <c r="K63" s="2"/>
      <c r="L63" s="2"/>
      <c r="M63" s="2"/>
      <c r="N63" s="2"/>
    </row>
    <row r="64" spans="1:14">
      <c r="A64" s="2"/>
      <c r="B64" s="2"/>
      <c r="C64" s="2"/>
      <c r="D64" s="2"/>
      <c r="E64" s="2"/>
      <c r="F64" s="2"/>
      <c r="G64" s="2"/>
      <c r="H64" s="2"/>
      <c r="I64" s="2"/>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c r="J74" s="2"/>
      <c r="K74" s="2"/>
      <c r="L74" s="2"/>
      <c r="M74" s="2"/>
      <c r="N74" s="2"/>
    </row>
    <row r="75" spans="1:14">
      <c r="A75" s="2"/>
      <c r="B75" s="2"/>
      <c r="C75" s="2"/>
      <c r="D75" s="2"/>
      <c r="E75" s="2"/>
      <c r="F75" s="2"/>
      <c r="G75" s="2"/>
      <c r="H75" s="2"/>
      <c r="I75" s="2"/>
      <c r="J75" s="2"/>
      <c r="K75" s="2"/>
      <c r="L75" s="2"/>
      <c r="M75" s="2"/>
      <c r="N75" s="2"/>
    </row>
    <row r="76" spans="1:14">
      <c r="A76" s="2"/>
      <c r="B76" s="2"/>
      <c r="C76" s="2"/>
      <c r="D76" s="2"/>
      <c r="E76" s="2"/>
      <c r="F76" s="2"/>
      <c r="G76" s="2"/>
      <c r="H76" s="2"/>
      <c r="I76" s="2"/>
      <c r="J76" s="2"/>
      <c r="K76" s="2"/>
      <c r="L76" s="2"/>
      <c r="M76" s="2"/>
      <c r="N76" s="2"/>
    </row>
  </sheetData>
  <mergeCells count="5">
    <mergeCell ref="A15:C15"/>
    <mergeCell ref="A17:M17"/>
    <mergeCell ref="B18:H18"/>
    <mergeCell ref="A19:B19"/>
    <mergeCell ref="A41:B41"/>
  </mergeCells>
  <printOptions horizontalCentered="1"/>
  <pageMargins left="0.39370078740157483" right="0.39370078740157483" top="0.47244094488188981" bottom="0.47244094488188981" header="0.43307086614173229" footer="0.43307086614173229"/>
  <pageSetup scale="86" fitToHeight="4" orientation="portrait" r:id="rId1"/>
  <headerFooter alignWithMargins="0">
    <oddFooter>&amp;L&amp;"Arial,Bold"&amp;8workbook:&amp;"Arial,Regular" &amp;F
&amp;"Arial,Bold"worksheet:&amp;"Arial,Regular" &amp;A&amp;R&amp;8slackwater_sf
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3"/>
  <sheetViews>
    <sheetView topLeftCell="B1" workbookViewId="0">
      <selection activeCell="B15" sqref="B15:D18"/>
    </sheetView>
  </sheetViews>
  <sheetFormatPr defaultRowHeight="12.45"/>
  <cols>
    <col min="1" max="1" width="3.69140625" style="808" customWidth="1"/>
    <col min="2" max="2" width="31.3046875" style="808" bestFit="1" customWidth="1"/>
    <col min="3" max="3" width="8" style="808" customWidth="1"/>
    <col min="4" max="4" width="3.3828125" style="808" customWidth="1"/>
    <col min="5" max="5" width="8.3828125" style="808" customWidth="1"/>
    <col min="6" max="6" width="41.84375" style="808" bestFit="1" customWidth="1"/>
    <col min="7" max="256" width="8.69140625" style="808"/>
    <col min="257" max="257" width="3.69140625" style="808" customWidth="1"/>
    <col min="258" max="258" width="31.3046875" style="808" bestFit="1" customWidth="1"/>
    <col min="259" max="259" width="8" style="808" customWidth="1"/>
    <col min="260" max="260" width="3.3828125" style="808" customWidth="1"/>
    <col min="261" max="261" width="8.3828125" style="808" customWidth="1"/>
    <col min="262" max="262" width="41.84375" style="808" bestFit="1" customWidth="1"/>
    <col min="263" max="512" width="8.69140625" style="808"/>
    <col min="513" max="513" width="3.69140625" style="808" customWidth="1"/>
    <col min="514" max="514" width="31.3046875" style="808" bestFit="1" customWidth="1"/>
    <col min="515" max="515" width="8" style="808" customWidth="1"/>
    <col min="516" max="516" width="3.3828125" style="808" customWidth="1"/>
    <col min="517" max="517" width="8.3828125" style="808" customWidth="1"/>
    <col min="518" max="518" width="41.84375" style="808" bestFit="1" customWidth="1"/>
    <col min="519" max="768" width="8.69140625" style="808"/>
    <col min="769" max="769" width="3.69140625" style="808" customWidth="1"/>
    <col min="770" max="770" width="31.3046875" style="808" bestFit="1" customWidth="1"/>
    <col min="771" max="771" width="8" style="808" customWidth="1"/>
    <col min="772" max="772" width="3.3828125" style="808" customWidth="1"/>
    <col min="773" max="773" width="8.3828125" style="808" customWidth="1"/>
    <col min="774" max="774" width="41.84375" style="808" bestFit="1" customWidth="1"/>
    <col min="775" max="1024" width="8.69140625" style="808"/>
    <col min="1025" max="1025" width="3.69140625" style="808" customWidth="1"/>
    <col min="1026" max="1026" width="31.3046875" style="808" bestFit="1" customWidth="1"/>
    <col min="1027" max="1027" width="8" style="808" customWidth="1"/>
    <col min="1028" max="1028" width="3.3828125" style="808" customWidth="1"/>
    <col min="1029" max="1029" width="8.3828125" style="808" customWidth="1"/>
    <col min="1030" max="1030" width="41.84375" style="808" bestFit="1" customWidth="1"/>
    <col min="1031" max="1280" width="8.69140625" style="808"/>
    <col min="1281" max="1281" width="3.69140625" style="808" customWidth="1"/>
    <col min="1282" max="1282" width="31.3046875" style="808" bestFit="1" customWidth="1"/>
    <col min="1283" max="1283" width="8" style="808" customWidth="1"/>
    <col min="1284" max="1284" width="3.3828125" style="808" customWidth="1"/>
    <col min="1285" max="1285" width="8.3828125" style="808" customWidth="1"/>
    <col min="1286" max="1286" width="41.84375" style="808" bestFit="1" customWidth="1"/>
    <col min="1287" max="1536" width="8.69140625" style="808"/>
    <col min="1537" max="1537" width="3.69140625" style="808" customWidth="1"/>
    <col min="1538" max="1538" width="31.3046875" style="808" bestFit="1" customWidth="1"/>
    <col min="1539" max="1539" width="8" style="808" customWidth="1"/>
    <col min="1540" max="1540" width="3.3828125" style="808" customWidth="1"/>
    <col min="1541" max="1541" width="8.3828125" style="808" customWidth="1"/>
    <col min="1542" max="1542" width="41.84375" style="808" bestFit="1" customWidth="1"/>
    <col min="1543" max="1792" width="8.69140625" style="808"/>
    <col min="1793" max="1793" width="3.69140625" style="808" customWidth="1"/>
    <col min="1794" max="1794" width="31.3046875" style="808" bestFit="1" customWidth="1"/>
    <col min="1795" max="1795" width="8" style="808" customWidth="1"/>
    <col min="1796" max="1796" width="3.3828125" style="808" customWidth="1"/>
    <col min="1797" max="1797" width="8.3828125" style="808" customWidth="1"/>
    <col min="1798" max="1798" width="41.84375" style="808" bestFit="1" customWidth="1"/>
    <col min="1799" max="2048" width="8.69140625" style="808"/>
    <col min="2049" max="2049" width="3.69140625" style="808" customWidth="1"/>
    <col min="2050" max="2050" width="31.3046875" style="808" bestFit="1" customWidth="1"/>
    <col min="2051" max="2051" width="8" style="808" customWidth="1"/>
    <col min="2052" max="2052" width="3.3828125" style="808" customWidth="1"/>
    <col min="2053" max="2053" width="8.3828125" style="808" customWidth="1"/>
    <col min="2054" max="2054" width="41.84375" style="808" bestFit="1" customWidth="1"/>
    <col min="2055" max="2304" width="8.69140625" style="808"/>
    <col min="2305" max="2305" width="3.69140625" style="808" customWidth="1"/>
    <col min="2306" max="2306" width="31.3046875" style="808" bestFit="1" customWidth="1"/>
    <col min="2307" max="2307" width="8" style="808" customWidth="1"/>
    <col min="2308" max="2308" width="3.3828125" style="808" customWidth="1"/>
    <col min="2309" max="2309" width="8.3828125" style="808" customWidth="1"/>
    <col min="2310" max="2310" width="41.84375" style="808" bestFit="1" customWidth="1"/>
    <col min="2311" max="2560" width="8.69140625" style="808"/>
    <col min="2561" max="2561" width="3.69140625" style="808" customWidth="1"/>
    <col min="2562" max="2562" width="31.3046875" style="808" bestFit="1" customWidth="1"/>
    <col min="2563" max="2563" width="8" style="808" customWidth="1"/>
    <col min="2564" max="2564" width="3.3828125" style="808" customWidth="1"/>
    <col min="2565" max="2565" width="8.3828125" style="808" customWidth="1"/>
    <col min="2566" max="2566" width="41.84375" style="808" bestFit="1" customWidth="1"/>
    <col min="2567" max="2816" width="8.69140625" style="808"/>
    <col min="2817" max="2817" width="3.69140625" style="808" customWidth="1"/>
    <col min="2818" max="2818" width="31.3046875" style="808" bestFit="1" customWidth="1"/>
    <col min="2819" max="2819" width="8" style="808" customWidth="1"/>
    <col min="2820" max="2820" width="3.3828125" style="808" customWidth="1"/>
    <col min="2821" max="2821" width="8.3828125" style="808" customWidth="1"/>
    <col min="2822" max="2822" width="41.84375" style="808" bestFit="1" customWidth="1"/>
    <col min="2823" max="3072" width="8.69140625" style="808"/>
    <col min="3073" max="3073" width="3.69140625" style="808" customWidth="1"/>
    <col min="3074" max="3074" width="31.3046875" style="808" bestFit="1" customWidth="1"/>
    <col min="3075" max="3075" width="8" style="808" customWidth="1"/>
    <col min="3076" max="3076" width="3.3828125" style="808" customWidth="1"/>
    <col min="3077" max="3077" width="8.3828125" style="808" customWidth="1"/>
    <col min="3078" max="3078" width="41.84375" style="808" bestFit="1" customWidth="1"/>
    <col min="3079" max="3328" width="8.69140625" style="808"/>
    <col min="3329" max="3329" width="3.69140625" style="808" customWidth="1"/>
    <col min="3330" max="3330" width="31.3046875" style="808" bestFit="1" customWidth="1"/>
    <col min="3331" max="3331" width="8" style="808" customWidth="1"/>
    <col min="3332" max="3332" width="3.3828125" style="808" customWidth="1"/>
    <col min="3333" max="3333" width="8.3828125" style="808" customWidth="1"/>
    <col min="3334" max="3334" width="41.84375" style="808" bestFit="1" customWidth="1"/>
    <col min="3335" max="3584" width="8.69140625" style="808"/>
    <col min="3585" max="3585" width="3.69140625" style="808" customWidth="1"/>
    <col min="3586" max="3586" width="31.3046875" style="808" bestFit="1" customWidth="1"/>
    <col min="3587" max="3587" width="8" style="808" customWidth="1"/>
    <col min="3588" max="3588" width="3.3828125" style="808" customWidth="1"/>
    <col min="3589" max="3589" width="8.3828125" style="808" customWidth="1"/>
    <col min="3590" max="3590" width="41.84375" style="808" bestFit="1" customWidth="1"/>
    <col min="3591" max="3840" width="8.69140625" style="808"/>
    <col min="3841" max="3841" width="3.69140625" style="808" customWidth="1"/>
    <col min="3842" max="3842" width="31.3046875" style="808" bestFit="1" customWidth="1"/>
    <col min="3843" max="3843" width="8" style="808" customWidth="1"/>
    <col min="3844" max="3844" width="3.3828125" style="808" customWidth="1"/>
    <col min="3845" max="3845" width="8.3828125" style="808" customWidth="1"/>
    <col min="3846" max="3846" width="41.84375" style="808" bestFit="1" customWidth="1"/>
    <col min="3847" max="4096" width="8.69140625" style="808"/>
    <col min="4097" max="4097" width="3.69140625" style="808" customWidth="1"/>
    <col min="4098" max="4098" width="31.3046875" style="808" bestFit="1" customWidth="1"/>
    <col min="4099" max="4099" width="8" style="808" customWidth="1"/>
    <col min="4100" max="4100" width="3.3828125" style="808" customWidth="1"/>
    <col min="4101" max="4101" width="8.3828125" style="808" customWidth="1"/>
    <col min="4102" max="4102" width="41.84375" style="808" bestFit="1" customWidth="1"/>
    <col min="4103" max="4352" width="8.69140625" style="808"/>
    <col min="4353" max="4353" width="3.69140625" style="808" customWidth="1"/>
    <col min="4354" max="4354" width="31.3046875" style="808" bestFit="1" customWidth="1"/>
    <col min="4355" max="4355" width="8" style="808" customWidth="1"/>
    <col min="4356" max="4356" width="3.3828125" style="808" customWidth="1"/>
    <col min="4357" max="4357" width="8.3828125" style="808" customWidth="1"/>
    <col min="4358" max="4358" width="41.84375" style="808" bestFit="1" customWidth="1"/>
    <col min="4359" max="4608" width="8.69140625" style="808"/>
    <col min="4609" max="4609" width="3.69140625" style="808" customWidth="1"/>
    <col min="4610" max="4610" width="31.3046875" style="808" bestFit="1" customWidth="1"/>
    <col min="4611" max="4611" width="8" style="808" customWidth="1"/>
    <col min="4612" max="4612" width="3.3828125" style="808" customWidth="1"/>
    <col min="4613" max="4613" width="8.3828125" style="808" customWidth="1"/>
    <col min="4614" max="4614" width="41.84375" style="808" bestFit="1" customWidth="1"/>
    <col min="4615" max="4864" width="8.69140625" style="808"/>
    <col min="4865" max="4865" width="3.69140625" style="808" customWidth="1"/>
    <col min="4866" max="4866" width="31.3046875" style="808" bestFit="1" customWidth="1"/>
    <col min="4867" max="4867" width="8" style="808" customWidth="1"/>
    <col min="4868" max="4868" width="3.3828125" style="808" customWidth="1"/>
    <col min="4869" max="4869" width="8.3828125" style="808" customWidth="1"/>
    <col min="4870" max="4870" width="41.84375" style="808" bestFit="1" customWidth="1"/>
    <col min="4871" max="5120" width="8.69140625" style="808"/>
    <col min="5121" max="5121" width="3.69140625" style="808" customWidth="1"/>
    <col min="5122" max="5122" width="31.3046875" style="808" bestFit="1" customWidth="1"/>
    <col min="5123" max="5123" width="8" style="808" customWidth="1"/>
    <col min="5124" max="5124" width="3.3828125" style="808" customWidth="1"/>
    <col min="5125" max="5125" width="8.3828125" style="808" customWidth="1"/>
    <col min="5126" max="5126" width="41.84375" style="808" bestFit="1" customWidth="1"/>
    <col min="5127" max="5376" width="8.69140625" style="808"/>
    <col min="5377" max="5377" width="3.69140625" style="808" customWidth="1"/>
    <col min="5378" max="5378" width="31.3046875" style="808" bestFit="1" customWidth="1"/>
    <col min="5379" max="5379" width="8" style="808" customWidth="1"/>
    <col min="5380" max="5380" width="3.3828125" style="808" customWidth="1"/>
    <col min="5381" max="5381" width="8.3828125" style="808" customWidth="1"/>
    <col min="5382" max="5382" width="41.84375" style="808" bestFit="1" customWidth="1"/>
    <col min="5383" max="5632" width="8.69140625" style="808"/>
    <col min="5633" max="5633" width="3.69140625" style="808" customWidth="1"/>
    <col min="5634" max="5634" width="31.3046875" style="808" bestFit="1" customWidth="1"/>
    <col min="5635" max="5635" width="8" style="808" customWidth="1"/>
    <col min="5636" max="5636" width="3.3828125" style="808" customWidth="1"/>
    <col min="5637" max="5637" width="8.3828125" style="808" customWidth="1"/>
    <col min="5638" max="5638" width="41.84375" style="808" bestFit="1" customWidth="1"/>
    <col min="5639" max="5888" width="8.69140625" style="808"/>
    <col min="5889" max="5889" width="3.69140625" style="808" customWidth="1"/>
    <col min="5890" max="5890" width="31.3046875" style="808" bestFit="1" customWidth="1"/>
    <col min="5891" max="5891" width="8" style="808" customWidth="1"/>
    <col min="5892" max="5892" width="3.3828125" style="808" customWidth="1"/>
    <col min="5893" max="5893" width="8.3828125" style="808" customWidth="1"/>
    <col min="5894" max="5894" width="41.84375" style="808" bestFit="1" customWidth="1"/>
    <col min="5895" max="6144" width="8.69140625" style="808"/>
    <col min="6145" max="6145" width="3.69140625" style="808" customWidth="1"/>
    <col min="6146" max="6146" width="31.3046875" style="808" bestFit="1" customWidth="1"/>
    <col min="6147" max="6147" width="8" style="808" customWidth="1"/>
    <col min="6148" max="6148" width="3.3828125" style="808" customWidth="1"/>
    <col min="6149" max="6149" width="8.3828125" style="808" customWidth="1"/>
    <col min="6150" max="6150" width="41.84375" style="808" bestFit="1" customWidth="1"/>
    <col min="6151" max="6400" width="8.69140625" style="808"/>
    <col min="6401" max="6401" width="3.69140625" style="808" customWidth="1"/>
    <col min="6402" max="6402" width="31.3046875" style="808" bestFit="1" customWidth="1"/>
    <col min="6403" max="6403" width="8" style="808" customWidth="1"/>
    <col min="6404" max="6404" width="3.3828125" style="808" customWidth="1"/>
    <col min="6405" max="6405" width="8.3828125" style="808" customWidth="1"/>
    <col min="6406" max="6406" width="41.84375" style="808" bestFit="1" customWidth="1"/>
    <col min="6407" max="6656" width="8.69140625" style="808"/>
    <col min="6657" max="6657" width="3.69140625" style="808" customWidth="1"/>
    <col min="6658" max="6658" width="31.3046875" style="808" bestFit="1" customWidth="1"/>
    <col min="6659" max="6659" width="8" style="808" customWidth="1"/>
    <col min="6660" max="6660" width="3.3828125" style="808" customWidth="1"/>
    <col min="6661" max="6661" width="8.3828125" style="808" customWidth="1"/>
    <col min="6662" max="6662" width="41.84375" style="808" bestFit="1" customWidth="1"/>
    <col min="6663" max="6912" width="8.69140625" style="808"/>
    <col min="6913" max="6913" width="3.69140625" style="808" customWidth="1"/>
    <col min="6914" max="6914" width="31.3046875" style="808" bestFit="1" customWidth="1"/>
    <col min="6915" max="6915" width="8" style="808" customWidth="1"/>
    <col min="6916" max="6916" width="3.3828125" style="808" customWidth="1"/>
    <col min="6917" max="6917" width="8.3828125" style="808" customWidth="1"/>
    <col min="6918" max="6918" width="41.84375" style="808" bestFit="1" customWidth="1"/>
    <col min="6919" max="7168" width="8.69140625" style="808"/>
    <col min="7169" max="7169" width="3.69140625" style="808" customWidth="1"/>
    <col min="7170" max="7170" width="31.3046875" style="808" bestFit="1" customWidth="1"/>
    <col min="7171" max="7171" width="8" style="808" customWidth="1"/>
    <col min="7172" max="7172" width="3.3828125" style="808" customWidth="1"/>
    <col min="7173" max="7173" width="8.3828125" style="808" customWidth="1"/>
    <col min="7174" max="7174" width="41.84375" style="808" bestFit="1" customWidth="1"/>
    <col min="7175" max="7424" width="8.69140625" style="808"/>
    <col min="7425" max="7425" width="3.69140625" style="808" customWidth="1"/>
    <col min="7426" max="7426" width="31.3046875" style="808" bestFit="1" customWidth="1"/>
    <col min="7427" max="7427" width="8" style="808" customWidth="1"/>
    <col min="7428" max="7428" width="3.3828125" style="808" customWidth="1"/>
    <col min="7429" max="7429" width="8.3828125" style="808" customWidth="1"/>
    <col min="7430" max="7430" width="41.84375" style="808" bestFit="1" customWidth="1"/>
    <col min="7431" max="7680" width="8.69140625" style="808"/>
    <col min="7681" max="7681" width="3.69140625" style="808" customWidth="1"/>
    <col min="7682" max="7682" width="31.3046875" style="808" bestFit="1" customWidth="1"/>
    <col min="7683" max="7683" width="8" style="808" customWidth="1"/>
    <col min="7684" max="7684" width="3.3828125" style="808" customWidth="1"/>
    <col min="7685" max="7685" width="8.3828125" style="808" customWidth="1"/>
    <col min="7686" max="7686" width="41.84375" style="808" bestFit="1" customWidth="1"/>
    <col min="7687" max="7936" width="8.69140625" style="808"/>
    <col min="7937" max="7937" width="3.69140625" style="808" customWidth="1"/>
    <col min="7938" max="7938" width="31.3046875" style="808" bestFit="1" customWidth="1"/>
    <col min="7939" max="7939" width="8" style="808" customWidth="1"/>
    <col min="7940" max="7940" width="3.3828125" style="808" customWidth="1"/>
    <col min="7941" max="7941" width="8.3828125" style="808" customWidth="1"/>
    <col min="7942" max="7942" width="41.84375" style="808" bestFit="1" customWidth="1"/>
    <col min="7943" max="8192" width="8.69140625" style="808"/>
    <col min="8193" max="8193" width="3.69140625" style="808" customWidth="1"/>
    <col min="8194" max="8194" width="31.3046875" style="808" bestFit="1" customWidth="1"/>
    <col min="8195" max="8195" width="8" style="808" customWidth="1"/>
    <col min="8196" max="8196" width="3.3828125" style="808" customWidth="1"/>
    <col min="8197" max="8197" width="8.3828125" style="808" customWidth="1"/>
    <col min="8198" max="8198" width="41.84375" style="808" bestFit="1" customWidth="1"/>
    <col min="8199" max="8448" width="8.69140625" style="808"/>
    <col min="8449" max="8449" width="3.69140625" style="808" customWidth="1"/>
    <col min="8450" max="8450" width="31.3046875" style="808" bestFit="1" customWidth="1"/>
    <col min="8451" max="8451" width="8" style="808" customWidth="1"/>
    <col min="8452" max="8452" width="3.3828125" style="808" customWidth="1"/>
    <col min="8453" max="8453" width="8.3828125" style="808" customWidth="1"/>
    <col min="8454" max="8454" width="41.84375" style="808" bestFit="1" customWidth="1"/>
    <col min="8455" max="8704" width="8.69140625" style="808"/>
    <col min="8705" max="8705" width="3.69140625" style="808" customWidth="1"/>
    <col min="8706" max="8706" width="31.3046875" style="808" bestFit="1" customWidth="1"/>
    <col min="8707" max="8707" width="8" style="808" customWidth="1"/>
    <col min="8708" max="8708" width="3.3828125" style="808" customWidth="1"/>
    <col min="8709" max="8709" width="8.3828125" style="808" customWidth="1"/>
    <col min="8710" max="8710" width="41.84375" style="808" bestFit="1" customWidth="1"/>
    <col min="8711" max="8960" width="8.69140625" style="808"/>
    <col min="8961" max="8961" width="3.69140625" style="808" customWidth="1"/>
    <col min="8962" max="8962" width="31.3046875" style="808" bestFit="1" customWidth="1"/>
    <col min="8963" max="8963" width="8" style="808" customWidth="1"/>
    <col min="8964" max="8964" width="3.3828125" style="808" customWidth="1"/>
    <col min="8965" max="8965" width="8.3828125" style="808" customWidth="1"/>
    <col min="8966" max="8966" width="41.84375" style="808" bestFit="1" customWidth="1"/>
    <col min="8967" max="9216" width="8.69140625" style="808"/>
    <col min="9217" max="9217" width="3.69140625" style="808" customWidth="1"/>
    <col min="9218" max="9218" width="31.3046875" style="808" bestFit="1" customWidth="1"/>
    <col min="9219" max="9219" width="8" style="808" customWidth="1"/>
    <col min="9220" max="9220" width="3.3828125" style="808" customWidth="1"/>
    <col min="9221" max="9221" width="8.3828125" style="808" customWidth="1"/>
    <col min="9222" max="9222" width="41.84375" style="808" bestFit="1" customWidth="1"/>
    <col min="9223" max="9472" width="8.69140625" style="808"/>
    <col min="9473" max="9473" width="3.69140625" style="808" customWidth="1"/>
    <col min="9474" max="9474" width="31.3046875" style="808" bestFit="1" customWidth="1"/>
    <col min="9475" max="9475" width="8" style="808" customWidth="1"/>
    <col min="9476" max="9476" width="3.3828125" style="808" customWidth="1"/>
    <col min="9477" max="9477" width="8.3828125" style="808" customWidth="1"/>
    <col min="9478" max="9478" width="41.84375" style="808" bestFit="1" customWidth="1"/>
    <col min="9479" max="9728" width="8.69140625" style="808"/>
    <col min="9729" max="9729" width="3.69140625" style="808" customWidth="1"/>
    <col min="9730" max="9730" width="31.3046875" style="808" bestFit="1" customWidth="1"/>
    <col min="9731" max="9731" width="8" style="808" customWidth="1"/>
    <col min="9732" max="9732" width="3.3828125" style="808" customWidth="1"/>
    <col min="9733" max="9733" width="8.3828125" style="808" customWidth="1"/>
    <col min="9734" max="9734" width="41.84375" style="808" bestFit="1" customWidth="1"/>
    <col min="9735" max="9984" width="8.69140625" style="808"/>
    <col min="9985" max="9985" width="3.69140625" style="808" customWidth="1"/>
    <col min="9986" max="9986" width="31.3046875" style="808" bestFit="1" customWidth="1"/>
    <col min="9987" max="9987" width="8" style="808" customWidth="1"/>
    <col min="9988" max="9988" width="3.3828125" style="808" customWidth="1"/>
    <col min="9989" max="9989" width="8.3828125" style="808" customWidth="1"/>
    <col min="9990" max="9990" width="41.84375" style="808" bestFit="1" customWidth="1"/>
    <col min="9991" max="10240" width="8.69140625" style="808"/>
    <col min="10241" max="10241" width="3.69140625" style="808" customWidth="1"/>
    <col min="10242" max="10242" width="31.3046875" style="808" bestFit="1" customWidth="1"/>
    <col min="10243" max="10243" width="8" style="808" customWidth="1"/>
    <col min="10244" max="10244" width="3.3828125" style="808" customWidth="1"/>
    <col min="10245" max="10245" width="8.3828125" style="808" customWidth="1"/>
    <col min="10246" max="10246" width="41.84375" style="808" bestFit="1" customWidth="1"/>
    <col min="10247" max="10496" width="8.69140625" style="808"/>
    <col min="10497" max="10497" width="3.69140625" style="808" customWidth="1"/>
    <col min="10498" max="10498" width="31.3046875" style="808" bestFit="1" customWidth="1"/>
    <col min="10499" max="10499" width="8" style="808" customWidth="1"/>
    <col min="10500" max="10500" width="3.3828125" style="808" customWidth="1"/>
    <col min="10501" max="10501" width="8.3828125" style="808" customWidth="1"/>
    <col min="10502" max="10502" width="41.84375" style="808" bestFit="1" customWidth="1"/>
    <col min="10503" max="10752" width="8.69140625" style="808"/>
    <col min="10753" max="10753" width="3.69140625" style="808" customWidth="1"/>
    <col min="10754" max="10754" width="31.3046875" style="808" bestFit="1" customWidth="1"/>
    <col min="10755" max="10755" width="8" style="808" customWidth="1"/>
    <col min="10756" max="10756" width="3.3828125" style="808" customWidth="1"/>
    <col min="10757" max="10757" width="8.3828125" style="808" customWidth="1"/>
    <col min="10758" max="10758" width="41.84375" style="808" bestFit="1" customWidth="1"/>
    <col min="10759" max="11008" width="8.69140625" style="808"/>
    <col min="11009" max="11009" width="3.69140625" style="808" customWidth="1"/>
    <col min="11010" max="11010" width="31.3046875" style="808" bestFit="1" customWidth="1"/>
    <col min="11011" max="11011" width="8" style="808" customWidth="1"/>
    <col min="11012" max="11012" width="3.3828125" style="808" customWidth="1"/>
    <col min="11013" max="11013" width="8.3828125" style="808" customWidth="1"/>
    <col min="11014" max="11014" width="41.84375" style="808" bestFit="1" customWidth="1"/>
    <col min="11015" max="11264" width="8.69140625" style="808"/>
    <col min="11265" max="11265" width="3.69140625" style="808" customWidth="1"/>
    <col min="11266" max="11266" width="31.3046875" style="808" bestFit="1" customWidth="1"/>
    <col min="11267" max="11267" width="8" style="808" customWidth="1"/>
    <col min="11268" max="11268" width="3.3828125" style="808" customWidth="1"/>
    <col min="11269" max="11269" width="8.3828125" style="808" customWidth="1"/>
    <col min="11270" max="11270" width="41.84375" style="808" bestFit="1" customWidth="1"/>
    <col min="11271" max="11520" width="8.69140625" style="808"/>
    <col min="11521" max="11521" width="3.69140625" style="808" customWidth="1"/>
    <col min="11522" max="11522" width="31.3046875" style="808" bestFit="1" customWidth="1"/>
    <col min="11523" max="11523" width="8" style="808" customWidth="1"/>
    <col min="11524" max="11524" width="3.3828125" style="808" customWidth="1"/>
    <col min="11525" max="11525" width="8.3828125" style="808" customWidth="1"/>
    <col min="11526" max="11526" width="41.84375" style="808" bestFit="1" customWidth="1"/>
    <col min="11527" max="11776" width="8.69140625" style="808"/>
    <col min="11777" max="11777" width="3.69140625" style="808" customWidth="1"/>
    <col min="11778" max="11778" width="31.3046875" style="808" bestFit="1" customWidth="1"/>
    <col min="11779" max="11779" width="8" style="808" customWidth="1"/>
    <col min="11780" max="11780" width="3.3828125" style="808" customWidth="1"/>
    <col min="11781" max="11781" width="8.3828125" style="808" customWidth="1"/>
    <col min="11782" max="11782" width="41.84375" style="808" bestFit="1" customWidth="1"/>
    <col min="11783" max="12032" width="8.69140625" style="808"/>
    <col min="12033" max="12033" width="3.69140625" style="808" customWidth="1"/>
    <col min="12034" max="12034" width="31.3046875" style="808" bestFit="1" customWidth="1"/>
    <col min="12035" max="12035" width="8" style="808" customWidth="1"/>
    <col min="12036" max="12036" width="3.3828125" style="808" customWidth="1"/>
    <col min="12037" max="12037" width="8.3828125" style="808" customWidth="1"/>
    <col min="12038" max="12038" width="41.84375" style="808" bestFit="1" customWidth="1"/>
    <col min="12039" max="12288" width="8.69140625" style="808"/>
    <col min="12289" max="12289" width="3.69140625" style="808" customWidth="1"/>
    <col min="12290" max="12290" width="31.3046875" style="808" bestFit="1" customWidth="1"/>
    <col min="12291" max="12291" width="8" style="808" customWidth="1"/>
    <col min="12292" max="12292" width="3.3828125" style="808" customWidth="1"/>
    <col min="12293" max="12293" width="8.3828125" style="808" customWidth="1"/>
    <col min="12294" max="12294" width="41.84375" style="808" bestFit="1" customWidth="1"/>
    <col min="12295" max="12544" width="8.69140625" style="808"/>
    <col min="12545" max="12545" width="3.69140625" style="808" customWidth="1"/>
    <col min="12546" max="12546" width="31.3046875" style="808" bestFit="1" customWidth="1"/>
    <col min="12547" max="12547" width="8" style="808" customWidth="1"/>
    <col min="12548" max="12548" width="3.3828125" style="808" customWidth="1"/>
    <col min="12549" max="12549" width="8.3828125" style="808" customWidth="1"/>
    <col min="12550" max="12550" width="41.84375" style="808" bestFit="1" customWidth="1"/>
    <col min="12551" max="12800" width="8.69140625" style="808"/>
    <col min="12801" max="12801" width="3.69140625" style="808" customWidth="1"/>
    <col min="12802" max="12802" width="31.3046875" style="808" bestFit="1" customWidth="1"/>
    <col min="12803" max="12803" width="8" style="808" customWidth="1"/>
    <col min="12804" max="12804" width="3.3828125" style="808" customWidth="1"/>
    <col min="12805" max="12805" width="8.3828125" style="808" customWidth="1"/>
    <col min="12806" max="12806" width="41.84375" style="808" bestFit="1" customWidth="1"/>
    <col min="12807" max="13056" width="8.69140625" style="808"/>
    <col min="13057" max="13057" width="3.69140625" style="808" customWidth="1"/>
    <col min="13058" max="13058" width="31.3046875" style="808" bestFit="1" customWidth="1"/>
    <col min="13059" max="13059" width="8" style="808" customWidth="1"/>
    <col min="13060" max="13060" width="3.3828125" style="808" customWidth="1"/>
    <col min="13061" max="13061" width="8.3828125" style="808" customWidth="1"/>
    <col min="13062" max="13062" width="41.84375" style="808" bestFit="1" customWidth="1"/>
    <col min="13063" max="13312" width="8.69140625" style="808"/>
    <col min="13313" max="13313" width="3.69140625" style="808" customWidth="1"/>
    <col min="13314" max="13314" width="31.3046875" style="808" bestFit="1" customWidth="1"/>
    <col min="13315" max="13315" width="8" style="808" customWidth="1"/>
    <col min="13316" max="13316" width="3.3828125" style="808" customWidth="1"/>
    <col min="13317" max="13317" width="8.3828125" style="808" customWidth="1"/>
    <col min="13318" max="13318" width="41.84375" style="808" bestFit="1" customWidth="1"/>
    <col min="13319" max="13568" width="8.69140625" style="808"/>
    <col min="13569" max="13569" width="3.69140625" style="808" customWidth="1"/>
    <col min="13570" max="13570" width="31.3046875" style="808" bestFit="1" customWidth="1"/>
    <col min="13571" max="13571" width="8" style="808" customWidth="1"/>
    <col min="13572" max="13572" width="3.3828125" style="808" customWidth="1"/>
    <col min="13573" max="13573" width="8.3828125" style="808" customWidth="1"/>
    <col min="13574" max="13574" width="41.84375" style="808" bestFit="1" customWidth="1"/>
    <col min="13575" max="13824" width="8.69140625" style="808"/>
    <col min="13825" max="13825" width="3.69140625" style="808" customWidth="1"/>
    <col min="13826" max="13826" width="31.3046875" style="808" bestFit="1" customWidth="1"/>
    <col min="13827" max="13827" width="8" style="808" customWidth="1"/>
    <col min="13828" max="13828" width="3.3828125" style="808" customWidth="1"/>
    <col min="13829" max="13829" width="8.3828125" style="808" customWidth="1"/>
    <col min="13830" max="13830" width="41.84375" style="808" bestFit="1" customWidth="1"/>
    <col min="13831" max="14080" width="8.69140625" style="808"/>
    <col min="14081" max="14081" width="3.69140625" style="808" customWidth="1"/>
    <col min="14082" max="14082" width="31.3046875" style="808" bestFit="1" customWidth="1"/>
    <col min="14083" max="14083" width="8" style="808" customWidth="1"/>
    <col min="14084" max="14084" width="3.3828125" style="808" customWidth="1"/>
    <col min="14085" max="14085" width="8.3828125" style="808" customWidth="1"/>
    <col min="14086" max="14086" width="41.84375" style="808" bestFit="1" customWidth="1"/>
    <col min="14087" max="14336" width="8.69140625" style="808"/>
    <col min="14337" max="14337" width="3.69140625" style="808" customWidth="1"/>
    <col min="14338" max="14338" width="31.3046875" style="808" bestFit="1" customWidth="1"/>
    <col min="14339" max="14339" width="8" style="808" customWidth="1"/>
    <col min="14340" max="14340" width="3.3828125" style="808" customWidth="1"/>
    <col min="14341" max="14341" width="8.3828125" style="808" customWidth="1"/>
    <col min="14342" max="14342" width="41.84375" style="808" bestFit="1" customWidth="1"/>
    <col min="14343" max="14592" width="8.69140625" style="808"/>
    <col min="14593" max="14593" width="3.69140625" style="808" customWidth="1"/>
    <col min="14594" max="14594" width="31.3046875" style="808" bestFit="1" customWidth="1"/>
    <col min="14595" max="14595" width="8" style="808" customWidth="1"/>
    <col min="14596" max="14596" width="3.3828125" style="808" customWidth="1"/>
    <col min="14597" max="14597" width="8.3828125" style="808" customWidth="1"/>
    <col min="14598" max="14598" width="41.84375" style="808" bestFit="1" customWidth="1"/>
    <col min="14599" max="14848" width="8.69140625" style="808"/>
    <col min="14849" max="14849" width="3.69140625" style="808" customWidth="1"/>
    <col min="14850" max="14850" width="31.3046875" style="808" bestFit="1" customWidth="1"/>
    <col min="14851" max="14851" width="8" style="808" customWidth="1"/>
    <col min="14852" max="14852" width="3.3828125" style="808" customWidth="1"/>
    <col min="14853" max="14853" width="8.3828125" style="808" customWidth="1"/>
    <col min="14854" max="14854" width="41.84375" style="808" bestFit="1" customWidth="1"/>
    <col min="14855" max="15104" width="8.69140625" style="808"/>
    <col min="15105" max="15105" width="3.69140625" style="808" customWidth="1"/>
    <col min="15106" max="15106" width="31.3046875" style="808" bestFit="1" customWidth="1"/>
    <col min="15107" max="15107" width="8" style="808" customWidth="1"/>
    <col min="15108" max="15108" width="3.3828125" style="808" customWidth="1"/>
    <col min="15109" max="15109" width="8.3828125" style="808" customWidth="1"/>
    <col min="15110" max="15110" width="41.84375" style="808" bestFit="1" customWidth="1"/>
    <col min="15111" max="15360" width="8.69140625" style="808"/>
    <col min="15361" max="15361" width="3.69140625" style="808" customWidth="1"/>
    <col min="15362" max="15362" width="31.3046875" style="808" bestFit="1" customWidth="1"/>
    <col min="15363" max="15363" width="8" style="808" customWidth="1"/>
    <col min="15364" max="15364" width="3.3828125" style="808" customWidth="1"/>
    <col min="15365" max="15365" width="8.3828125" style="808" customWidth="1"/>
    <col min="15366" max="15366" width="41.84375" style="808" bestFit="1" customWidth="1"/>
    <col min="15367" max="15616" width="8.69140625" style="808"/>
    <col min="15617" max="15617" width="3.69140625" style="808" customWidth="1"/>
    <col min="15618" max="15618" width="31.3046875" style="808" bestFit="1" customWidth="1"/>
    <col min="15619" max="15619" width="8" style="808" customWidth="1"/>
    <col min="15620" max="15620" width="3.3828125" style="808" customWidth="1"/>
    <col min="15621" max="15621" width="8.3828125" style="808" customWidth="1"/>
    <col min="15622" max="15622" width="41.84375" style="808" bestFit="1" customWidth="1"/>
    <col min="15623" max="15872" width="8.69140625" style="808"/>
    <col min="15873" max="15873" width="3.69140625" style="808" customWidth="1"/>
    <col min="15874" max="15874" width="31.3046875" style="808" bestFit="1" customWidth="1"/>
    <col min="15875" max="15875" width="8" style="808" customWidth="1"/>
    <col min="15876" max="15876" width="3.3828125" style="808" customWidth="1"/>
    <col min="15877" max="15877" width="8.3828125" style="808" customWidth="1"/>
    <col min="15878" max="15878" width="41.84375" style="808" bestFit="1" customWidth="1"/>
    <col min="15879" max="16128" width="8.69140625" style="808"/>
    <col min="16129" max="16129" width="3.69140625" style="808" customWidth="1"/>
    <col min="16130" max="16130" width="31.3046875" style="808" bestFit="1" customWidth="1"/>
    <col min="16131" max="16131" width="8" style="808" customWidth="1"/>
    <col min="16132" max="16132" width="3.3828125" style="808" customWidth="1"/>
    <col min="16133" max="16133" width="8.3828125" style="808" customWidth="1"/>
    <col min="16134" max="16134" width="41.84375" style="808" bestFit="1" customWidth="1"/>
    <col min="16135" max="16384" width="8.69140625" style="808"/>
  </cols>
  <sheetData>
    <row r="1" spans="1:6" ht="17.600000000000001">
      <c r="A1" s="807"/>
      <c r="B1" s="938" t="s">
        <v>579</v>
      </c>
      <c r="C1" s="939"/>
      <c r="D1" s="939"/>
      <c r="E1" s="939"/>
      <c r="F1" s="939"/>
    </row>
    <row r="2" spans="1:6" ht="27.75" customHeight="1">
      <c r="B2" s="940" t="s">
        <v>580</v>
      </c>
      <c r="C2" s="941"/>
      <c r="D2" s="941"/>
      <c r="E2" s="941"/>
      <c r="F2" s="941"/>
    </row>
    <row r="3" spans="1:6" s="809" customFormat="1" ht="10.3">
      <c r="A3" s="807"/>
      <c r="B3" s="942"/>
      <c r="C3" s="943"/>
      <c r="D3" s="943"/>
      <c r="E3" s="943"/>
      <c r="F3" s="943"/>
    </row>
    <row r="4" spans="1:6">
      <c r="B4" s="810" t="s">
        <v>581</v>
      </c>
      <c r="C4" s="811" t="s">
        <v>582</v>
      </c>
      <c r="D4" s="811"/>
      <c r="E4" s="812" t="s">
        <v>134</v>
      </c>
      <c r="F4" s="813" t="s">
        <v>583</v>
      </c>
    </row>
    <row r="5" spans="1:6">
      <c r="B5" s="814" t="s">
        <v>584</v>
      </c>
      <c r="C5" s="815">
        <v>1.83</v>
      </c>
      <c r="D5" s="816" t="s">
        <v>14</v>
      </c>
      <c r="E5" s="817">
        <v>41422</v>
      </c>
      <c r="F5" s="818" t="s">
        <v>585</v>
      </c>
    </row>
    <row r="6" spans="1:6">
      <c r="B6" s="814" t="s">
        <v>586</v>
      </c>
      <c r="C6" s="815">
        <v>0.94</v>
      </c>
      <c r="D6" s="816" t="s">
        <v>14</v>
      </c>
      <c r="E6" s="817">
        <v>41085</v>
      </c>
      <c r="F6" s="818" t="s">
        <v>587</v>
      </c>
    </row>
    <row r="7" spans="1:6">
      <c r="B7" s="814" t="s">
        <v>588</v>
      </c>
      <c r="C7" s="819">
        <v>0.90800000000000003</v>
      </c>
      <c r="D7" s="820" t="s">
        <v>589</v>
      </c>
      <c r="E7" s="817">
        <v>40045.572916666664</v>
      </c>
      <c r="F7" s="818" t="s">
        <v>590</v>
      </c>
    </row>
    <row r="8" spans="1:6">
      <c r="B8" s="814" t="s">
        <v>591</v>
      </c>
      <c r="C8" s="821">
        <v>0.86499999999999999</v>
      </c>
      <c r="D8" s="822" t="s">
        <v>592</v>
      </c>
      <c r="E8" s="823">
        <v>40273</v>
      </c>
      <c r="F8" s="824" t="s">
        <v>593</v>
      </c>
    </row>
    <row r="9" spans="1:6">
      <c r="B9" s="814" t="s">
        <v>594</v>
      </c>
      <c r="C9" s="815">
        <v>0.745</v>
      </c>
      <c r="D9" s="816" t="s">
        <v>14</v>
      </c>
      <c r="E9" s="817">
        <v>41301</v>
      </c>
      <c r="F9" s="818" t="s">
        <v>595</v>
      </c>
    </row>
    <row r="10" spans="1:6">
      <c r="B10" s="814" t="s">
        <v>596</v>
      </c>
      <c r="C10" s="815">
        <v>0.8</v>
      </c>
      <c r="D10" s="816" t="s">
        <v>589</v>
      </c>
      <c r="E10" s="817">
        <v>40257</v>
      </c>
      <c r="F10" s="818" t="s">
        <v>597</v>
      </c>
    </row>
    <row r="11" spans="1:6">
      <c r="B11" s="814" t="s">
        <v>598</v>
      </c>
      <c r="C11" s="815">
        <v>0.76</v>
      </c>
      <c r="D11" s="816" t="s">
        <v>14</v>
      </c>
      <c r="E11" s="817">
        <v>40022</v>
      </c>
      <c r="F11" s="818" t="s">
        <v>599</v>
      </c>
    </row>
    <row r="12" spans="1:6">
      <c r="B12" s="814" t="s">
        <v>600</v>
      </c>
      <c r="C12" s="819">
        <v>0.71899999999999997</v>
      </c>
      <c r="D12" s="820" t="s">
        <v>601</v>
      </c>
      <c r="E12" s="817">
        <v>39907</v>
      </c>
      <c r="F12" s="818" t="s">
        <v>602</v>
      </c>
    </row>
    <row r="13" spans="1:6">
      <c r="B13" s="814" t="s">
        <v>603</v>
      </c>
      <c r="C13" s="815">
        <v>0.7</v>
      </c>
      <c r="D13" s="820" t="s">
        <v>14</v>
      </c>
      <c r="E13" s="817">
        <v>42803</v>
      </c>
      <c r="F13" s="824" t="s">
        <v>604</v>
      </c>
    </row>
    <row r="14" spans="1:6">
      <c r="B14" s="814" t="s">
        <v>605</v>
      </c>
      <c r="C14" s="825">
        <v>0.7</v>
      </c>
      <c r="D14" s="816" t="s">
        <v>14</v>
      </c>
      <c r="E14" s="823">
        <v>39963</v>
      </c>
      <c r="F14" s="824" t="s">
        <v>606</v>
      </c>
    </row>
    <row r="15" spans="1:6">
      <c r="B15" s="814" t="s">
        <v>607</v>
      </c>
      <c r="C15" s="826">
        <v>0.66500000000000004</v>
      </c>
      <c r="D15" s="816" t="s">
        <v>14</v>
      </c>
      <c r="E15" s="823">
        <v>40900</v>
      </c>
      <c r="F15" s="824" t="s">
        <v>608</v>
      </c>
    </row>
    <row r="16" spans="1:6">
      <c r="B16" s="814" t="s">
        <v>609</v>
      </c>
      <c r="C16" s="826">
        <v>0.62</v>
      </c>
      <c r="D16" s="816" t="s">
        <v>601</v>
      </c>
      <c r="E16" s="823">
        <v>40878</v>
      </c>
      <c r="F16" s="824" t="s">
        <v>610</v>
      </c>
    </row>
    <row r="17" spans="2:6">
      <c r="B17" s="814" t="s">
        <v>611</v>
      </c>
      <c r="C17" s="826">
        <v>0.6</v>
      </c>
      <c r="D17" s="816" t="s">
        <v>601</v>
      </c>
      <c r="E17" s="823">
        <v>40371</v>
      </c>
      <c r="F17" s="824" t="s">
        <v>610</v>
      </c>
    </row>
    <row r="18" spans="2:6">
      <c r="B18" s="814" t="s">
        <v>612</v>
      </c>
      <c r="C18" s="821">
        <v>0.6</v>
      </c>
      <c r="D18" s="822" t="s">
        <v>601</v>
      </c>
      <c r="E18" s="823">
        <v>39963</v>
      </c>
      <c r="F18" s="824" t="s">
        <v>613</v>
      </c>
    </row>
    <row r="19" spans="2:6">
      <c r="B19" s="814" t="s">
        <v>614</v>
      </c>
      <c r="C19" s="821">
        <v>0.6</v>
      </c>
      <c r="D19" s="822" t="s">
        <v>14</v>
      </c>
      <c r="E19" s="823">
        <v>40513</v>
      </c>
      <c r="F19" s="824" t="s">
        <v>615</v>
      </c>
    </row>
    <row r="20" spans="2:6">
      <c r="B20" s="814" t="s">
        <v>616</v>
      </c>
      <c r="C20" s="819">
        <v>0.58499999999999996</v>
      </c>
      <c r="D20" s="820" t="s">
        <v>601</v>
      </c>
      <c r="E20" s="823">
        <v>40186</v>
      </c>
      <c r="F20" s="818" t="s">
        <v>617</v>
      </c>
    </row>
    <row r="21" spans="2:6">
      <c r="B21" s="814" t="s">
        <v>618</v>
      </c>
      <c r="C21" s="819">
        <v>0.57699999999999996</v>
      </c>
      <c r="D21" s="820" t="s">
        <v>14</v>
      </c>
      <c r="E21" s="817">
        <v>41507</v>
      </c>
      <c r="F21" s="818" t="s">
        <v>619</v>
      </c>
    </row>
    <row r="22" spans="2:6">
      <c r="B22" s="814" t="s">
        <v>620</v>
      </c>
      <c r="C22" s="819">
        <v>0.55400000000000005</v>
      </c>
      <c r="D22" s="820" t="s">
        <v>601</v>
      </c>
      <c r="E22" s="817">
        <v>39963</v>
      </c>
      <c r="F22" s="818" t="s">
        <v>621</v>
      </c>
    </row>
    <row r="23" spans="2:6">
      <c r="B23" s="814" t="s">
        <v>622</v>
      </c>
      <c r="C23" s="815">
        <v>0.53</v>
      </c>
      <c r="D23" s="820" t="s">
        <v>14</v>
      </c>
      <c r="E23" s="817">
        <v>40875</v>
      </c>
      <c r="F23" s="818" t="s">
        <v>615</v>
      </c>
    </row>
    <row r="24" spans="2:6">
      <c r="B24" s="814" t="s">
        <v>623</v>
      </c>
      <c r="C24" s="815">
        <v>0.51</v>
      </c>
      <c r="D24" s="820" t="s">
        <v>14</v>
      </c>
      <c r="E24" s="817">
        <v>42690</v>
      </c>
      <c r="F24" s="818" t="s">
        <v>624</v>
      </c>
    </row>
    <row r="25" spans="2:6">
      <c r="B25" s="814" t="s">
        <v>623</v>
      </c>
      <c r="C25" s="815">
        <v>0.5</v>
      </c>
      <c r="D25" s="820" t="s">
        <v>14</v>
      </c>
      <c r="E25" s="817">
        <v>42782</v>
      </c>
      <c r="F25" s="818" t="s">
        <v>625</v>
      </c>
    </row>
    <row r="26" spans="2:6">
      <c r="B26" s="814" t="s">
        <v>626</v>
      </c>
      <c r="C26" s="815">
        <v>0.5</v>
      </c>
      <c r="D26" s="820" t="s">
        <v>601</v>
      </c>
      <c r="E26" s="817">
        <v>40492</v>
      </c>
      <c r="F26" s="818" t="s">
        <v>627</v>
      </c>
    </row>
    <row r="27" spans="2:6">
      <c r="B27" s="814" t="s">
        <v>628</v>
      </c>
      <c r="C27" s="815">
        <v>0.48</v>
      </c>
      <c r="D27" s="820" t="s">
        <v>601</v>
      </c>
      <c r="E27" s="817">
        <v>40644</v>
      </c>
      <c r="F27" s="818" t="s">
        <v>629</v>
      </c>
    </row>
    <row r="28" spans="2:6">
      <c r="B28" s="814" t="s">
        <v>630</v>
      </c>
      <c r="C28" s="819">
        <v>0.495</v>
      </c>
      <c r="D28" s="820" t="s">
        <v>601</v>
      </c>
      <c r="E28" s="823">
        <v>40374</v>
      </c>
      <c r="F28" s="824" t="s">
        <v>631</v>
      </c>
    </row>
    <row r="29" spans="2:6">
      <c r="B29" s="814" t="s">
        <v>632</v>
      </c>
      <c r="C29" s="819">
        <v>0.48299999999999998</v>
      </c>
      <c r="D29" s="820" t="s">
        <v>14</v>
      </c>
      <c r="E29" s="823">
        <v>40330</v>
      </c>
      <c r="F29" s="824" t="s">
        <v>633</v>
      </c>
    </row>
    <row r="30" spans="2:6">
      <c r="B30" s="814" t="s">
        <v>634</v>
      </c>
      <c r="C30" s="819">
        <v>0.48299999999999998</v>
      </c>
      <c r="D30" s="820" t="s">
        <v>14</v>
      </c>
      <c r="E30" s="817">
        <v>40268</v>
      </c>
      <c r="F30" s="818" t="s">
        <v>635</v>
      </c>
    </row>
    <row r="31" spans="2:6">
      <c r="B31" s="814" t="s">
        <v>636</v>
      </c>
      <c r="C31" s="819">
        <v>0.48299999999999998</v>
      </c>
      <c r="D31" s="820" t="s">
        <v>14</v>
      </c>
      <c r="E31" s="817">
        <v>39925</v>
      </c>
      <c r="F31" s="818" t="s">
        <v>637</v>
      </c>
    </row>
    <row r="32" spans="2:6">
      <c r="B32" s="814" t="s">
        <v>638</v>
      </c>
      <c r="C32" s="819">
        <v>0.48099999999999998</v>
      </c>
      <c r="D32" s="820" t="s">
        <v>601</v>
      </c>
      <c r="E32" s="817">
        <v>39935</v>
      </c>
      <c r="F32" s="818" t="s">
        <v>639</v>
      </c>
    </row>
    <row r="33" spans="2:6">
      <c r="B33" s="814" t="s">
        <v>640</v>
      </c>
      <c r="C33" s="815">
        <v>0.44</v>
      </c>
      <c r="D33" s="820" t="s">
        <v>601</v>
      </c>
      <c r="E33" s="817">
        <v>42677</v>
      </c>
      <c r="F33" s="818" t="s">
        <v>641</v>
      </c>
    </row>
    <row r="34" spans="2:6">
      <c r="B34" s="814" t="s">
        <v>642</v>
      </c>
      <c r="C34" s="819">
        <v>0.39700000000000002</v>
      </c>
      <c r="D34" s="820" t="s">
        <v>601</v>
      </c>
      <c r="E34" s="817">
        <v>40026</v>
      </c>
      <c r="F34" s="818" t="s">
        <v>643</v>
      </c>
    </row>
    <row r="35" spans="2:6">
      <c r="B35" s="814" t="s">
        <v>644</v>
      </c>
      <c r="C35" s="819">
        <v>0.35599999999999998</v>
      </c>
      <c r="D35" s="820" t="s">
        <v>14</v>
      </c>
      <c r="E35" s="817">
        <v>39910</v>
      </c>
      <c r="F35" s="818" t="s">
        <v>645</v>
      </c>
    </row>
    <row r="37" spans="2:6">
      <c r="B37" s="933" t="s">
        <v>646</v>
      </c>
      <c r="C37" s="934"/>
      <c r="D37" s="934"/>
      <c r="E37" s="934"/>
      <c r="F37" s="934"/>
    </row>
    <row r="38" spans="2:6">
      <c r="B38" s="933" t="s">
        <v>647</v>
      </c>
      <c r="C38" s="934"/>
      <c r="D38" s="934"/>
      <c r="E38" s="934"/>
      <c r="F38" s="934"/>
    </row>
    <row r="39" spans="2:6">
      <c r="B39" s="933" t="s">
        <v>648</v>
      </c>
      <c r="C39" s="934"/>
      <c r="D39" s="934"/>
      <c r="E39" s="934"/>
      <c r="F39" s="934"/>
    </row>
    <row r="40" spans="2:6">
      <c r="B40" s="933" t="s">
        <v>649</v>
      </c>
      <c r="C40" s="934"/>
      <c r="D40" s="934"/>
      <c r="E40" s="934"/>
      <c r="F40" s="934"/>
    </row>
    <row r="41" spans="2:6">
      <c r="B41" s="933" t="s">
        <v>650</v>
      </c>
      <c r="C41" s="935"/>
      <c r="D41" s="935"/>
      <c r="E41" s="935"/>
      <c r="F41" s="935"/>
    </row>
    <row r="42" spans="2:6" s="827" customFormat="1" ht="24" customHeight="1">
      <c r="B42" s="936"/>
      <c r="C42" s="937"/>
      <c r="D42" s="937"/>
      <c r="E42" s="937"/>
      <c r="F42" s="937"/>
    </row>
    <row r="43" spans="2:6">
      <c r="B43" s="933"/>
      <c r="C43" s="935"/>
      <c r="D43" s="935"/>
      <c r="E43" s="935"/>
      <c r="F43" s="935"/>
    </row>
  </sheetData>
  <mergeCells count="10">
    <mergeCell ref="B40:F40"/>
    <mergeCell ref="B41:F41"/>
    <mergeCell ref="B42:F42"/>
    <mergeCell ref="B43:F43"/>
    <mergeCell ref="B1:F1"/>
    <mergeCell ref="B2:F2"/>
    <mergeCell ref="B3:F3"/>
    <mergeCell ref="B37:F37"/>
    <mergeCell ref="B38:F38"/>
    <mergeCell ref="B39:F39"/>
  </mergeCells>
  <printOptions horizontalCentered="1"/>
  <pageMargins left="0.51181102362204722" right="0.51181102362204722" top="1.1417322834645669" bottom="0.6692913385826772" header="0.43307086614173229" footer="0.43307086614173229"/>
  <pageSetup orientation="portrait" r:id="rId1"/>
  <headerFooter alignWithMargins="0">
    <oddFooter>&amp;L&amp;8&amp;F
&amp;A&amp;R&amp;8slackwater_sf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9"/>
  <sheetViews>
    <sheetView workbookViewId="0">
      <selection activeCell="B15" sqref="B15:D18"/>
    </sheetView>
  </sheetViews>
  <sheetFormatPr defaultColWidth="9.15234375" defaultRowHeight="12.45"/>
  <cols>
    <col min="1" max="2" width="9.15234375" style="6"/>
    <col min="3" max="3" width="7.15234375" style="6" customWidth="1"/>
    <col min="4" max="4" width="7.69140625" style="6" customWidth="1"/>
    <col min="5" max="5" width="9.15234375" style="6"/>
    <col min="6" max="6" width="10.3046875" style="6" customWidth="1"/>
    <col min="7" max="16384" width="9.15234375" style="6"/>
  </cols>
  <sheetData>
    <row r="1" spans="1:8">
      <c r="E1" s="42"/>
      <c r="F1" s="42"/>
      <c r="G1" s="42"/>
      <c r="H1" s="42"/>
    </row>
    <row r="2" spans="1:8" ht="15.45">
      <c r="A2" s="944" t="s">
        <v>651</v>
      </c>
      <c r="B2" s="945"/>
      <c r="C2" s="945"/>
      <c r="D2" s="945"/>
      <c r="E2" s="945"/>
      <c r="F2" s="945"/>
      <c r="G2" s="945"/>
      <c r="H2" s="945"/>
    </row>
    <row r="3" spans="1:8" ht="17.25" customHeight="1">
      <c r="A3" s="828"/>
    </row>
    <row r="4" spans="1:8">
      <c r="B4" s="829"/>
      <c r="C4" s="830"/>
      <c r="D4" s="830"/>
    </row>
    <row r="5" spans="1:8">
      <c r="B5" s="831"/>
      <c r="C5" s="832"/>
      <c r="D5" s="833"/>
    </row>
    <row r="6" spans="1:8">
      <c r="B6" s="834" t="s">
        <v>652</v>
      </c>
      <c r="C6" s="835"/>
      <c r="D6" s="836"/>
    </row>
    <row r="7" spans="1:8">
      <c r="C7" s="837" t="s">
        <v>653</v>
      </c>
      <c r="D7" s="838" t="s">
        <v>654</v>
      </c>
    </row>
    <row r="8" spans="1:8" ht="14.15">
      <c r="B8" s="839" t="s">
        <v>655</v>
      </c>
      <c r="C8" s="840">
        <f>SUM(C9:C34)</f>
        <v>20.518050000000002</v>
      </c>
      <c r="D8" s="841">
        <f>C8*10.7639104</f>
        <v>220.85445178272002</v>
      </c>
    </row>
    <row r="9" spans="1:8">
      <c r="A9" s="842">
        <v>10.07</v>
      </c>
      <c r="B9" s="843" t="s">
        <v>656</v>
      </c>
      <c r="C9" s="843"/>
    </row>
    <row r="10" spans="1:8">
      <c r="A10" s="842">
        <v>2.44</v>
      </c>
      <c r="B10" s="843" t="s">
        <v>657</v>
      </c>
      <c r="C10" s="843"/>
    </row>
    <row r="11" spans="1:8">
      <c r="A11" s="844"/>
      <c r="B11" s="843" t="s">
        <v>658</v>
      </c>
      <c r="C11" s="845">
        <f>A9*A10/2</f>
        <v>12.285399999999999</v>
      </c>
    </row>
    <row r="12" spans="1:8">
      <c r="A12" s="842">
        <v>0.105</v>
      </c>
      <c r="B12" s="843" t="s">
        <v>659</v>
      </c>
      <c r="C12" s="843"/>
    </row>
    <row r="13" spans="1:8">
      <c r="A13" s="842"/>
      <c r="B13" s="843" t="s">
        <v>660</v>
      </c>
      <c r="C13" s="845">
        <f>2/3*A9*A12</f>
        <v>0.70489999999999997</v>
      </c>
    </row>
    <row r="14" spans="1:8">
      <c r="A14" s="842">
        <v>2.4700000000000002</v>
      </c>
      <c r="B14" s="843" t="s">
        <v>661</v>
      </c>
      <c r="C14" s="843"/>
    </row>
    <row r="15" spans="1:8">
      <c r="A15" s="842">
        <v>0.05</v>
      </c>
      <c r="B15" s="843" t="s">
        <v>662</v>
      </c>
      <c r="C15" s="843"/>
    </row>
    <row r="16" spans="1:8">
      <c r="A16" s="844"/>
      <c r="B16" s="843" t="s">
        <v>663</v>
      </c>
      <c r="C16" s="845">
        <f>A14*A15*2/3</f>
        <v>8.2333333333333342E-2</v>
      </c>
    </row>
    <row r="17" spans="1:3">
      <c r="A17" s="842">
        <v>9.76</v>
      </c>
      <c r="B17" s="843" t="s">
        <v>664</v>
      </c>
      <c r="C17" s="843"/>
    </row>
    <row r="18" spans="1:3">
      <c r="A18" s="842">
        <v>0.88</v>
      </c>
      <c r="B18" s="843" t="s">
        <v>665</v>
      </c>
      <c r="C18" s="843"/>
    </row>
    <row r="19" spans="1:3">
      <c r="A19" s="844"/>
      <c r="B19" s="843" t="s">
        <v>666</v>
      </c>
      <c r="C19" s="845">
        <f>A17*A18/2</f>
        <v>4.2943999999999996</v>
      </c>
    </row>
    <row r="20" spans="1:3">
      <c r="A20" s="842">
        <v>5.14</v>
      </c>
      <c r="B20" s="843" t="s">
        <v>667</v>
      </c>
      <c r="C20" s="843"/>
    </row>
    <row r="21" spans="1:3">
      <c r="A21" s="842">
        <v>0.73</v>
      </c>
      <c r="B21" s="843" t="s">
        <v>668</v>
      </c>
      <c r="C21" s="843"/>
    </row>
    <row r="22" spans="1:3">
      <c r="A22" s="844"/>
      <c r="B22" s="843" t="s">
        <v>669</v>
      </c>
      <c r="C22" s="845">
        <f>A21*A20/2</f>
        <v>1.8760999999999999</v>
      </c>
    </row>
    <row r="23" spans="1:3">
      <c r="A23" s="842">
        <v>4.78</v>
      </c>
      <c r="B23" s="843" t="s">
        <v>670</v>
      </c>
      <c r="C23" s="843"/>
    </row>
    <row r="24" spans="1:3">
      <c r="A24" s="842">
        <v>0.03</v>
      </c>
      <c r="B24" s="843" t="s">
        <v>671</v>
      </c>
      <c r="C24" s="843"/>
    </row>
    <row r="25" spans="1:3">
      <c r="A25" s="844"/>
      <c r="B25" s="843" t="s">
        <v>672</v>
      </c>
      <c r="C25" s="845">
        <f>A23*A24*2/3</f>
        <v>9.5600000000000004E-2</v>
      </c>
    </row>
    <row r="26" spans="1:3">
      <c r="A26" s="842">
        <v>2.77</v>
      </c>
      <c r="B26" s="843" t="s">
        <v>673</v>
      </c>
      <c r="C26" s="843"/>
    </row>
    <row r="27" spans="1:3">
      <c r="A27" s="842">
        <v>0.04</v>
      </c>
      <c r="B27" s="843" t="s">
        <v>674</v>
      </c>
      <c r="C27" s="843"/>
    </row>
    <row r="28" spans="1:3">
      <c r="A28" s="844"/>
      <c r="B28" s="843" t="s">
        <v>675</v>
      </c>
      <c r="C28" s="845">
        <f>2/3*A26*A27</f>
        <v>7.3866666666666664E-2</v>
      </c>
    </row>
    <row r="29" spans="1:3">
      <c r="A29" s="842">
        <v>2.58</v>
      </c>
      <c r="B29" s="843" t="s">
        <v>676</v>
      </c>
      <c r="C29" s="843"/>
    </row>
    <row r="30" spans="1:3">
      <c r="A30" s="842">
        <v>0.80500000000000005</v>
      </c>
      <c r="B30" s="843" t="s">
        <v>677</v>
      </c>
      <c r="C30" s="843"/>
    </row>
    <row r="31" spans="1:3">
      <c r="A31" s="844"/>
      <c r="B31" s="843" t="s">
        <v>678</v>
      </c>
      <c r="C31" s="845">
        <f>A29*A30/2</f>
        <v>1.0384500000000001</v>
      </c>
    </row>
    <row r="32" spans="1:3">
      <c r="A32" s="842">
        <v>2.0099999999999998</v>
      </c>
      <c r="B32" s="843" t="s">
        <v>679</v>
      </c>
      <c r="C32" s="843"/>
    </row>
    <row r="33" spans="1:7">
      <c r="A33" s="842">
        <v>0.05</v>
      </c>
      <c r="B33" s="843" t="s">
        <v>680</v>
      </c>
      <c r="C33" s="843"/>
      <c r="E33" s="846"/>
      <c r="F33" s="946"/>
      <c r="G33" s="946"/>
    </row>
    <row r="34" spans="1:7">
      <c r="A34" s="844"/>
      <c r="B34" s="843" t="s">
        <v>681</v>
      </c>
      <c r="C34" s="845">
        <f>A32*A33*2/3</f>
        <v>6.699999999999999E-2</v>
      </c>
      <c r="F34" s="946"/>
      <c r="G34" s="946"/>
    </row>
    <row r="35" spans="1:7">
      <c r="F35" s="947"/>
      <c r="G35" s="947"/>
    </row>
    <row r="37" spans="1:7">
      <c r="F37" s="946"/>
      <c r="G37" s="946"/>
    </row>
    <row r="38" spans="1:7">
      <c r="F38" s="946"/>
      <c r="G38" s="946"/>
    </row>
    <row r="39" spans="1:7">
      <c r="F39" s="947"/>
      <c r="G39" s="947"/>
    </row>
  </sheetData>
  <mergeCells count="3">
    <mergeCell ref="A2:H2"/>
    <mergeCell ref="F33:G35"/>
    <mergeCell ref="F37:G39"/>
  </mergeCells>
  <printOptions horizontalCentered="1" verticalCentered="1"/>
  <pageMargins left="0.196850393700787" right="0.196850393700787" top="0.35433070866141703" bottom="0.74803149606299202" header="0.31496062992126" footer="0.31496062992126"/>
  <pageSetup orientation="portrait" r:id="rId1"/>
  <headerFooter alignWithMargins="0">
    <oddFooter>&amp;L&amp;"Arial,Bold"&amp;8workbook:&amp;"Arial,Regular" &amp;F&amp;"Arial,Bold"
worksheet:&amp;"Arial,Regular" &amp;A&amp;R&amp;8slackwater_sf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5"/>
  <sheetViews>
    <sheetView zoomScaleNormal="100" workbookViewId="0">
      <selection activeCell="B15" sqref="B15:D18"/>
    </sheetView>
  </sheetViews>
  <sheetFormatPr defaultColWidth="9.15234375" defaultRowHeight="12.45"/>
  <cols>
    <col min="1" max="1" width="24.15234375" style="6" customWidth="1"/>
    <col min="2" max="2" width="16" style="6" customWidth="1"/>
    <col min="3" max="3" width="5.3828125" style="6" customWidth="1"/>
    <col min="4" max="4" width="22.15234375" style="6" customWidth="1"/>
    <col min="5" max="5" width="12.15234375" style="6" customWidth="1"/>
    <col min="6" max="6" width="5.3828125" style="6" customWidth="1"/>
    <col min="7" max="7" width="25.84375" style="6" customWidth="1"/>
    <col min="8" max="8" width="13.69140625" style="6" customWidth="1"/>
    <col min="9" max="9" width="5.69140625" style="6" customWidth="1"/>
    <col min="10" max="10" width="6.53515625" style="6" hidden="1" customWidth="1"/>
    <col min="11" max="11" width="26.3828125" style="6" hidden="1" customWidth="1"/>
    <col min="12" max="12" width="15.69140625" style="6" hidden="1" customWidth="1"/>
    <col min="13" max="13" width="5.3828125" style="6" customWidth="1"/>
    <col min="14" max="14" width="7.69140625" style="6" customWidth="1"/>
    <col min="15" max="15" width="13" style="6" customWidth="1"/>
    <col min="16" max="17" width="9.15234375" style="6" customWidth="1"/>
    <col min="18" max="16384" width="9.15234375" style="6"/>
  </cols>
  <sheetData>
    <row r="1" spans="1:14" ht="17.600000000000001">
      <c r="A1" s="192">
        <v>2017</v>
      </c>
      <c r="B1" s="2"/>
      <c r="C1" s="2"/>
      <c r="D1" s="3"/>
      <c r="E1" s="2"/>
      <c r="F1" s="2"/>
      <c r="G1" s="193" t="s">
        <v>135</v>
      </c>
      <c r="H1" s="4"/>
      <c r="I1" s="2"/>
      <c r="J1" s="5"/>
      <c r="K1" s="5"/>
    </row>
    <row r="2" spans="1:14">
      <c r="A2" s="7">
        <v>42797</v>
      </c>
      <c r="B2" s="2"/>
      <c r="C2" s="2"/>
      <c r="D2" s="2"/>
      <c r="E2" s="2"/>
      <c r="F2" s="2"/>
      <c r="G2" s="2"/>
      <c r="H2" s="2"/>
      <c r="I2" s="2"/>
      <c r="J2" s="5"/>
      <c r="K2" s="5"/>
    </row>
    <row r="3" spans="1:14">
      <c r="A3" s="7"/>
      <c r="B3" s="2"/>
      <c r="C3" s="2"/>
      <c r="D3" s="2"/>
      <c r="E3" s="2"/>
      <c r="F3" s="2"/>
      <c r="G3" s="2"/>
      <c r="H3" s="2"/>
      <c r="I3" s="2"/>
      <c r="J3" s="5"/>
      <c r="K3" s="5"/>
    </row>
    <row r="4" spans="1:14" ht="15.45">
      <c r="A4" s="194" t="s">
        <v>136</v>
      </c>
      <c r="B4" s="9"/>
      <c r="C4" s="2"/>
      <c r="D4" s="2"/>
      <c r="E4" s="2"/>
      <c r="F4" s="195"/>
      <c r="G4" s="195"/>
      <c r="H4" s="2"/>
      <c r="I4" s="2"/>
      <c r="J4" s="5"/>
      <c r="K4" s="5"/>
    </row>
    <row r="5" spans="1:14" ht="22.75">
      <c r="A5" s="8" t="s">
        <v>1</v>
      </c>
      <c r="B5" s="11"/>
      <c r="C5" s="12"/>
      <c r="D5" s="13"/>
      <c r="E5" s="14"/>
      <c r="F5" s="196"/>
      <c r="G5" s="196"/>
      <c r="H5" s="15"/>
      <c r="I5" s="2"/>
      <c r="J5" s="5"/>
      <c r="K5" s="5"/>
    </row>
    <row r="6" spans="1:14" s="16" customFormat="1" ht="10.3">
      <c r="B6" s="17"/>
      <c r="C6" s="18"/>
      <c r="D6" s="19"/>
      <c r="E6" s="14"/>
      <c r="F6" s="196"/>
      <c r="G6" s="196"/>
      <c r="I6" s="20"/>
      <c r="J6" s="20"/>
      <c r="K6" s="20"/>
    </row>
    <row r="7" spans="1:14" s="26" customFormat="1" ht="11.6">
      <c r="A7" s="21"/>
      <c r="B7" s="22"/>
      <c r="C7" s="23"/>
      <c r="D7" s="21"/>
      <c r="E7" s="24"/>
      <c r="F7" s="197"/>
      <c r="G7" s="196"/>
      <c r="H7" s="23"/>
      <c r="I7" s="25"/>
      <c r="K7" s="25"/>
    </row>
    <row r="8" spans="1:14" s="30" customFormat="1" ht="10.3">
      <c r="A8" s="5"/>
      <c r="B8" s="5"/>
      <c r="C8" s="5"/>
      <c r="D8" s="5"/>
      <c r="E8" s="28"/>
      <c r="F8" s="196"/>
      <c r="G8" s="196"/>
      <c r="H8" s="29"/>
      <c r="I8" s="198"/>
      <c r="J8" s="5"/>
      <c r="K8" s="5"/>
      <c r="L8" s="5"/>
      <c r="M8" s="5"/>
      <c r="N8" s="5"/>
    </row>
    <row r="9" spans="1:14" s="30" customFormat="1" ht="10.3">
      <c r="A9" s="5"/>
      <c r="B9" s="5"/>
      <c r="C9" s="5"/>
      <c r="D9" s="5"/>
      <c r="E9" s="5"/>
      <c r="F9" s="196"/>
      <c r="G9" s="196"/>
      <c r="H9" s="29"/>
      <c r="I9" s="198"/>
      <c r="J9" s="5"/>
      <c r="K9" s="5"/>
      <c r="L9" s="5"/>
      <c r="M9" s="5"/>
      <c r="N9" s="5"/>
    </row>
    <row r="10" spans="1:14" s="30" customFormat="1" ht="5.15">
      <c r="A10" s="31"/>
      <c r="B10" s="32"/>
      <c r="C10" s="32"/>
      <c r="D10" s="32"/>
      <c r="E10" s="32"/>
      <c r="F10" s="32"/>
      <c r="G10" s="32"/>
      <c r="H10" s="32"/>
      <c r="I10" s="198"/>
      <c r="J10" s="5"/>
      <c r="K10" s="5"/>
      <c r="L10" s="5"/>
      <c r="M10" s="5"/>
      <c r="N10" s="5"/>
    </row>
    <row r="11" spans="1:14">
      <c r="A11" s="864" t="s">
        <v>137</v>
      </c>
      <c r="B11" s="865"/>
      <c r="C11" s="865"/>
      <c r="D11" s="865"/>
      <c r="E11" s="865"/>
      <c r="F11" s="865"/>
      <c r="G11" s="865"/>
      <c r="H11" s="866"/>
      <c r="I11" s="199"/>
      <c r="J11" s="2"/>
      <c r="K11" s="5"/>
      <c r="L11" s="2"/>
      <c r="M11" s="2"/>
      <c r="N11" s="2"/>
    </row>
    <row r="12" spans="1:14" s="30" customFormat="1" ht="5.15">
      <c r="A12" s="5"/>
      <c r="B12" s="5"/>
      <c r="C12" s="5"/>
      <c r="D12" s="5"/>
      <c r="E12" s="5"/>
      <c r="F12" s="5"/>
      <c r="G12" s="5"/>
      <c r="H12" s="5"/>
      <c r="I12" s="5"/>
      <c r="J12" s="5"/>
      <c r="K12" s="5"/>
    </row>
    <row r="13" spans="1:14" ht="27.75" customHeight="1">
      <c r="A13" s="867" t="s">
        <v>3</v>
      </c>
      <c r="B13" s="867"/>
      <c r="C13" s="867"/>
      <c r="D13" s="867"/>
      <c r="E13" s="867"/>
      <c r="F13" s="867"/>
      <c r="G13" s="867"/>
      <c r="H13" s="867"/>
      <c r="I13" s="33"/>
      <c r="J13" s="34"/>
      <c r="K13" s="5"/>
    </row>
    <row r="14" spans="1:14" s="30" customFormat="1" ht="5.15">
      <c r="A14" s="5"/>
      <c r="B14" s="5"/>
      <c r="C14" s="5"/>
      <c r="D14" s="5"/>
      <c r="E14" s="5"/>
      <c r="F14" s="5"/>
      <c r="G14" s="5"/>
      <c r="H14" s="5"/>
      <c r="I14" s="198"/>
      <c r="J14" s="5"/>
      <c r="K14" s="65"/>
      <c r="L14" s="65"/>
      <c r="M14" s="65"/>
    </row>
    <row r="15" spans="1:14" ht="20.149999999999999">
      <c r="A15" s="35" t="s">
        <v>4</v>
      </c>
      <c r="B15" s="882"/>
      <c r="C15" s="883"/>
      <c r="D15" s="883"/>
      <c r="E15" s="35" t="s">
        <v>5</v>
      </c>
      <c r="F15" s="2"/>
      <c r="G15" s="870"/>
      <c r="H15" s="871"/>
      <c r="I15" s="200"/>
      <c r="J15" s="199"/>
      <c r="K15" s="37"/>
      <c r="L15" s="37"/>
      <c r="M15" s="38"/>
    </row>
    <row r="16" spans="1:14" ht="17.600000000000001">
      <c r="A16" s="35" t="s">
        <v>6</v>
      </c>
      <c r="B16" s="872" t="s">
        <v>138</v>
      </c>
      <c r="C16" s="873"/>
      <c r="D16" s="873"/>
      <c r="E16" s="35" t="s">
        <v>7</v>
      </c>
      <c r="F16" s="2"/>
      <c r="G16" s="874" t="s">
        <v>139</v>
      </c>
      <c r="H16" s="874"/>
      <c r="I16" s="201"/>
      <c r="J16" s="199"/>
      <c r="K16" s="37"/>
      <c r="L16" s="37"/>
      <c r="M16" s="38"/>
    </row>
    <row r="17" spans="1:14" ht="17.600000000000001">
      <c r="A17" s="35" t="s">
        <v>8</v>
      </c>
      <c r="B17" s="875" t="s">
        <v>140</v>
      </c>
      <c r="C17" s="876"/>
      <c r="D17" s="876"/>
      <c r="E17" s="35" t="s">
        <v>9</v>
      </c>
      <c r="F17" s="2"/>
      <c r="G17" s="877" t="s">
        <v>141</v>
      </c>
      <c r="H17" s="878"/>
      <c r="I17" s="200"/>
      <c r="J17" s="199"/>
      <c r="K17" s="37"/>
      <c r="L17" s="37"/>
      <c r="M17" s="38"/>
    </row>
    <row r="18" spans="1:14" s="42" customFormat="1" ht="14.15">
      <c r="A18" s="35" t="s">
        <v>10</v>
      </c>
      <c r="B18" s="877" t="s">
        <v>142</v>
      </c>
      <c r="C18" s="879"/>
      <c r="D18" s="879"/>
      <c r="E18" s="35" t="s">
        <v>11</v>
      </c>
      <c r="F18" s="2"/>
      <c r="G18" s="880">
        <v>2016</v>
      </c>
      <c r="H18" s="881"/>
      <c r="I18" s="202"/>
      <c r="J18" s="12"/>
      <c r="K18" s="43"/>
      <c r="L18" s="203"/>
      <c r="M18" s="204"/>
    </row>
    <row r="19" spans="1:14" s="30" customFormat="1" ht="5.15">
      <c r="A19" s="5"/>
      <c r="B19" s="43"/>
      <c r="C19" s="43"/>
      <c r="D19" s="43"/>
      <c r="E19" s="5"/>
      <c r="F19" s="5"/>
      <c r="G19" s="43"/>
      <c r="H19" s="43"/>
      <c r="I19" s="198"/>
      <c r="J19" s="5"/>
      <c r="K19" s="5"/>
      <c r="L19" s="5"/>
      <c r="M19" s="5"/>
    </row>
    <row r="20" spans="1:14" s="16" customFormat="1" ht="11.6">
      <c r="A20" s="44" t="s">
        <v>12</v>
      </c>
      <c r="B20" s="20"/>
      <c r="C20" s="20"/>
      <c r="D20" s="45" t="s">
        <v>13</v>
      </c>
      <c r="E20" s="46" t="s">
        <v>14</v>
      </c>
      <c r="F20" s="47"/>
      <c r="G20" s="45" t="s">
        <v>16</v>
      </c>
      <c r="H20" s="205" t="s">
        <v>18</v>
      </c>
      <c r="I20" s="46"/>
      <c r="J20" s="20"/>
      <c r="K20" s="5"/>
      <c r="L20" s="20"/>
      <c r="M20" s="20"/>
    </row>
    <row r="21" spans="1:14">
      <c r="A21" s="70" t="s">
        <v>143</v>
      </c>
      <c r="B21" s="49" t="s">
        <v>17</v>
      </c>
      <c r="C21" s="52" t="s">
        <v>14</v>
      </c>
      <c r="D21" s="2"/>
      <c r="E21" s="44" t="s">
        <v>19</v>
      </c>
      <c r="F21" s="51"/>
      <c r="G21" s="2"/>
      <c r="H21" s="2"/>
      <c r="I21" s="206"/>
      <c r="J21" s="2"/>
      <c r="K21" s="5"/>
      <c r="L21" s="2"/>
      <c r="M21" s="2"/>
    </row>
    <row r="22" spans="1:14" s="16" customFormat="1" hidden="1">
      <c r="A22" s="2"/>
      <c r="B22" s="47" t="s">
        <v>20</v>
      </c>
      <c r="C22" s="52" t="s">
        <v>14</v>
      </c>
      <c r="D22" s="49" t="s">
        <v>21</v>
      </c>
      <c r="E22" s="46" t="s">
        <v>14</v>
      </c>
      <c r="F22" s="49"/>
      <c r="G22" s="49" t="s">
        <v>22</v>
      </c>
      <c r="H22" s="46" t="s">
        <v>14</v>
      </c>
      <c r="I22" s="207"/>
      <c r="J22" s="45"/>
      <c r="K22" s="20"/>
      <c r="L22" s="20"/>
      <c r="M22" s="20"/>
    </row>
    <row r="23" spans="1:14" s="56" customFormat="1" ht="11.6" hidden="1">
      <c r="A23" s="25"/>
      <c r="B23" s="47" t="s">
        <v>23</v>
      </c>
      <c r="C23" s="50" t="s">
        <v>18</v>
      </c>
      <c r="D23" s="208" t="s">
        <v>144</v>
      </c>
      <c r="E23" s="46" t="s">
        <v>14</v>
      </c>
      <c r="F23" s="49"/>
      <c r="G23" s="49" t="s">
        <v>145</v>
      </c>
      <c r="H23" s="209" t="s">
        <v>18</v>
      </c>
      <c r="I23" s="210"/>
      <c r="J23" s="18"/>
      <c r="K23" s="20"/>
      <c r="L23" s="18"/>
      <c r="M23" s="18"/>
    </row>
    <row r="24" spans="1:14" s="61" customFormat="1" ht="10.3">
      <c r="A24" s="57"/>
      <c r="B24" s="58" t="s">
        <v>146</v>
      </c>
      <c r="C24" s="211" t="s">
        <v>18</v>
      </c>
      <c r="D24" s="58"/>
      <c r="E24" s="205"/>
      <c r="F24" s="52"/>
      <c r="G24" s="47" t="s">
        <v>25</v>
      </c>
      <c r="H24" s="46" t="s">
        <v>14</v>
      </c>
      <c r="I24" s="212"/>
      <c r="J24" s="45"/>
      <c r="K24" s="57"/>
      <c r="L24" s="57"/>
      <c r="M24" s="57"/>
    </row>
    <row r="25" spans="1:14" s="30" customFormat="1" ht="5.15">
      <c r="A25" s="5"/>
      <c r="B25" s="5"/>
      <c r="C25" s="5"/>
      <c r="D25" s="5"/>
      <c r="E25" s="5"/>
      <c r="F25" s="5"/>
      <c r="G25" s="5"/>
      <c r="H25" s="62"/>
      <c r="I25" s="213"/>
      <c r="J25" s="5"/>
      <c r="K25" s="5"/>
      <c r="L25" s="65"/>
      <c r="M25" s="65"/>
    </row>
    <row r="26" spans="1:14" ht="152.15" customHeight="1">
      <c r="A26" s="853" t="s">
        <v>26</v>
      </c>
      <c r="B26" s="853"/>
      <c r="C26" s="853"/>
      <c r="D26" s="853"/>
      <c r="E26" s="853"/>
      <c r="F26" s="853"/>
      <c r="G26" s="853"/>
      <c r="H26" s="853"/>
      <c r="I26" s="64"/>
      <c r="J26" s="2"/>
      <c r="K26" s="2"/>
      <c r="L26" s="2"/>
      <c r="M26" s="2"/>
      <c r="N26" s="2"/>
    </row>
    <row r="27" spans="1:14" s="30" customFormat="1" ht="5.15">
      <c r="A27" s="65"/>
      <c r="B27" s="65"/>
      <c r="C27" s="214"/>
      <c r="D27" s="68"/>
      <c r="E27" s="215"/>
      <c r="F27" s="69"/>
      <c r="G27" s="69"/>
      <c r="H27" s="65"/>
      <c r="I27" s="69"/>
      <c r="J27" s="5"/>
      <c r="K27" s="5"/>
      <c r="L27" s="5"/>
      <c r="M27" s="5"/>
      <c r="N27" s="5"/>
    </row>
    <row r="28" spans="1:14" ht="14.15">
      <c r="A28" s="71" t="s">
        <v>147</v>
      </c>
      <c r="B28" s="72">
        <v>18.437219656285716</v>
      </c>
      <c r="C28" s="73">
        <f xml:space="preserve"> 10.7639104 *B28</f>
        <v>198.45658040537825</v>
      </c>
      <c r="D28" s="75" t="s">
        <v>148</v>
      </c>
      <c r="E28" s="72">
        <f>0.1125*E29*(1.445*E30+2*E35+2*E34+1.5*E33+E32+0.5*E31)+((2/3)*E36*E37)</f>
        <v>7.7306444424583347</v>
      </c>
      <c r="F28" s="216">
        <f>0.1125*F29*(1.445*F30+2*F35+2*F34+1.5*F33+F32+0.5*F31)+((2/3)*F36*F37)</f>
        <v>83.211964495020766</v>
      </c>
      <c r="G28" s="217" t="s">
        <v>149</v>
      </c>
      <c r="H28" s="218">
        <f>0.1125*H29*(1.445*H30+2*H35+2*H34+1.5*H33+H32+0.5*H31)+((2/3)*H36*H37)</f>
        <v>28.731403572916665</v>
      </c>
      <c r="I28" s="219">
        <f>0.1125*I29*(1.445*I30+2*I35+2*I34+1.5*I33+I32+0.5*I31)+((2/3)*I36*I37)</f>
        <v>309.26225514536594</v>
      </c>
      <c r="J28" s="76">
        <f>(J32*(J32-J29)*(J32-J30)*(J32-J31))^0.5</f>
        <v>26.347997524657835</v>
      </c>
      <c r="K28" s="20" t="s">
        <v>150</v>
      </c>
      <c r="L28" s="19"/>
    </row>
    <row r="29" spans="1:14">
      <c r="A29" s="79" t="s">
        <v>151</v>
      </c>
      <c r="B29" s="220">
        <f>(B30/8)*(B31+2*B36+2*B35+1.5*B34+B33+0.5*B32)-B38</f>
        <v>17.736292187746919</v>
      </c>
      <c r="C29" s="221">
        <f>(C30/8)*(C31+(2*C36)+(2*C35)+(1.5*C34)+(C33)+(0.5*C32))-C38</f>
        <v>190.9118608361934</v>
      </c>
      <c r="D29" s="82" t="s">
        <v>32</v>
      </c>
      <c r="E29" s="83">
        <v>8.1189999999999998</v>
      </c>
      <c r="F29" s="95">
        <f t="shared" ref="F29:F38" si="0">E29*3.2808399</f>
        <v>26.637139148100001</v>
      </c>
      <c r="G29" s="82" t="s">
        <v>152</v>
      </c>
      <c r="H29" s="222">
        <v>10.09</v>
      </c>
      <c r="I29" s="223">
        <f t="shared" ref="I29:I38" si="1">H29*3.2808399</f>
        <v>33.103674591000001</v>
      </c>
      <c r="J29" s="86">
        <f>H29</f>
        <v>10.09</v>
      </c>
      <c r="K29" s="87" t="s">
        <v>34</v>
      </c>
      <c r="L29" s="88"/>
      <c r="M29" s="89"/>
      <c r="N29" s="224"/>
    </row>
    <row r="30" spans="1:14">
      <c r="A30" s="82" t="s">
        <v>35</v>
      </c>
      <c r="B30" s="109">
        <v>9.0709999999999997</v>
      </c>
      <c r="C30" s="93">
        <f t="shared" ref="C30:C37" si="2">B30*3.2808399</f>
        <v>29.7604987329</v>
      </c>
      <c r="D30" s="82" t="s">
        <v>153</v>
      </c>
      <c r="E30" s="83">
        <v>1.9339999999999999</v>
      </c>
      <c r="F30" s="95">
        <f t="shared" si="0"/>
        <v>6.3451443666000005</v>
      </c>
      <c r="G30" s="82" t="s">
        <v>154</v>
      </c>
      <c r="H30" s="222">
        <v>5.45</v>
      </c>
      <c r="I30" s="223">
        <f t="shared" si="1"/>
        <v>17.880577455000001</v>
      </c>
      <c r="J30" s="86">
        <f>H38</f>
        <v>9.1199999999999992</v>
      </c>
      <c r="K30" s="87" t="s">
        <v>74</v>
      </c>
      <c r="L30" s="88"/>
      <c r="M30" s="89"/>
      <c r="N30" s="224"/>
    </row>
    <row r="31" spans="1:14">
      <c r="A31" s="92" t="s">
        <v>38</v>
      </c>
      <c r="B31" s="109">
        <v>2.593</v>
      </c>
      <c r="C31" s="93">
        <f t="shared" si="2"/>
        <v>8.5072178607000009</v>
      </c>
      <c r="D31" s="82" t="s">
        <v>39</v>
      </c>
      <c r="E31" s="109">
        <v>2.5000000000000001E-2</v>
      </c>
      <c r="F31" s="95">
        <f t="shared" si="0"/>
        <v>8.2020997500000012E-2</v>
      </c>
      <c r="G31" s="82" t="s">
        <v>39</v>
      </c>
      <c r="H31" s="222">
        <v>0.04</v>
      </c>
      <c r="I31" s="223">
        <f t="shared" si="1"/>
        <v>0.13123359600000001</v>
      </c>
      <c r="J31" s="86">
        <f>H36</f>
        <v>5.84</v>
      </c>
      <c r="K31" s="87" t="s">
        <v>40</v>
      </c>
      <c r="L31" s="88"/>
      <c r="M31" s="89"/>
      <c r="N31" s="224"/>
    </row>
    <row r="32" spans="1:14">
      <c r="A32" s="82" t="s">
        <v>155</v>
      </c>
      <c r="B32" s="109">
        <v>1.0149999999999999</v>
      </c>
      <c r="C32" s="93">
        <f t="shared" si="2"/>
        <v>3.3300524984999997</v>
      </c>
      <c r="D32" s="96" t="s">
        <v>42</v>
      </c>
      <c r="E32" s="127">
        <f>(E33+E31)/2</f>
        <v>0.23975000000000002</v>
      </c>
      <c r="F32" s="225">
        <f t="shared" si="0"/>
        <v>0.78658136602500006</v>
      </c>
      <c r="G32" s="96" t="s">
        <v>42</v>
      </c>
      <c r="H32" s="222">
        <f>(H31+H33)/2</f>
        <v>0.73875000000000002</v>
      </c>
      <c r="I32" s="226">
        <f t="shared" si="1"/>
        <v>2.4237204761250002</v>
      </c>
      <c r="J32" s="97">
        <f>(J29+J30+J31)/2</f>
        <v>12.525</v>
      </c>
      <c r="K32" s="98" t="s">
        <v>43</v>
      </c>
      <c r="L32" s="99"/>
      <c r="M32" s="99"/>
    </row>
    <row r="33" spans="1:14">
      <c r="A33" s="82" t="s">
        <v>156</v>
      </c>
      <c r="B33" s="109">
        <v>1.26</v>
      </c>
      <c r="C33" s="93">
        <f t="shared" si="2"/>
        <v>4.1338582740000005</v>
      </c>
      <c r="D33" s="96" t="s">
        <v>45</v>
      </c>
      <c r="E33" s="127">
        <f>(E34+E31)/2</f>
        <v>0.45450000000000002</v>
      </c>
      <c r="F33" s="225">
        <f t="shared" si="0"/>
        <v>1.4911417345500002</v>
      </c>
      <c r="G33" s="96" t="s">
        <v>45</v>
      </c>
      <c r="H33" s="222">
        <f>(H31+H34)/2+J36</f>
        <v>1.4375</v>
      </c>
      <c r="I33" s="226">
        <f t="shared" si="1"/>
        <v>4.71620735625</v>
      </c>
      <c r="J33" s="100"/>
      <c r="K33" s="98" t="s">
        <v>46</v>
      </c>
      <c r="L33" s="101"/>
      <c r="M33" s="102"/>
    </row>
    <row r="34" spans="1:14">
      <c r="A34" s="82" t="s">
        <v>157</v>
      </c>
      <c r="B34" s="109">
        <v>1.68</v>
      </c>
      <c r="C34" s="93">
        <f t="shared" si="2"/>
        <v>5.5118110319999998</v>
      </c>
      <c r="D34" s="96" t="s">
        <v>48</v>
      </c>
      <c r="E34" s="109">
        <v>0.88400000000000001</v>
      </c>
      <c r="F34" s="93">
        <f t="shared" si="0"/>
        <v>2.9002624716000001</v>
      </c>
      <c r="G34" s="96" t="s">
        <v>48</v>
      </c>
      <c r="H34" s="222">
        <f>(H31+H30)/2+J35</f>
        <v>2.7949999999999999</v>
      </c>
      <c r="I34" s="226">
        <f t="shared" si="1"/>
        <v>9.1699475205000009</v>
      </c>
      <c r="J34" s="103">
        <f>2*J28/J29</f>
        <v>5.2225961396744962</v>
      </c>
      <c r="K34" s="20" t="s">
        <v>158</v>
      </c>
      <c r="L34" s="104"/>
      <c r="M34" s="105"/>
    </row>
    <row r="35" spans="1:14">
      <c r="A35" s="82" t="s">
        <v>159</v>
      </c>
      <c r="B35" s="109">
        <v>2.14</v>
      </c>
      <c r="C35" s="93">
        <f t="shared" si="2"/>
        <v>7.0209973860000003</v>
      </c>
      <c r="D35" s="96" t="s">
        <v>51</v>
      </c>
      <c r="E35" s="127">
        <f>(E30+E34)/2</f>
        <v>1.409</v>
      </c>
      <c r="F35" s="225">
        <f t="shared" si="0"/>
        <v>4.6227034191000005</v>
      </c>
      <c r="G35" s="96" t="s">
        <v>51</v>
      </c>
      <c r="H35" s="222">
        <f>(H34+H30)/2</f>
        <v>4.1225000000000005</v>
      </c>
      <c r="I35" s="223">
        <f t="shared" si="1"/>
        <v>13.525262487750002</v>
      </c>
      <c r="J35" s="106">
        <v>0.05</v>
      </c>
      <c r="K35" s="20" t="s">
        <v>160</v>
      </c>
      <c r="N35" s="2"/>
    </row>
    <row r="36" spans="1:14">
      <c r="A36" s="82" t="s">
        <v>161</v>
      </c>
      <c r="B36" s="109">
        <v>2.44</v>
      </c>
      <c r="C36" s="93">
        <f t="shared" si="2"/>
        <v>8.0052493560000002</v>
      </c>
      <c r="D36" s="92" t="s">
        <v>53</v>
      </c>
      <c r="E36" s="109">
        <v>2.11</v>
      </c>
      <c r="F36" s="95">
        <f t="shared" si="0"/>
        <v>6.9225721890000003</v>
      </c>
      <c r="G36" s="92" t="s">
        <v>162</v>
      </c>
      <c r="H36" s="222">
        <v>5.84</v>
      </c>
      <c r="I36" s="223">
        <f t="shared" si="1"/>
        <v>19.160105015999999</v>
      </c>
      <c r="J36" s="106">
        <v>0.02</v>
      </c>
      <c r="K36" s="20" t="s">
        <v>163</v>
      </c>
      <c r="L36" s="107"/>
      <c r="M36" s="107"/>
      <c r="N36" s="2"/>
    </row>
    <row r="37" spans="1:14">
      <c r="A37" s="108" t="s">
        <v>164</v>
      </c>
      <c r="B37" s="109">
        <v>9.09</v>
      </c>
      <c r="C37" s="93">
        <f t="shared" si="2"/>
        <v>29.822834691000001</v>
      </c>
      <c r="D37" s="82" t="s">
        <v>165</v>
      </c>
      <c r="E37" s="109">
        <v>9.6799999999999997E-2</v>
      </c>
      <c r="F37" s="225">
        <f t="shared" si="0"/>
        <v>0.31758530231999998</v>
      </c>
      <c r="G37" s="92" t="s">
        <v>57</v>
      </c>
      <c r="H37" s="222">
        <v>0.2</v>
      </c>
      <c r="I37" s="223">
        <f t="shared" si="1"/>
        <v>0.6561679800000001</v>
      </c>
      <c r="J37" s="110">
        <f>H34/H30</f>
        <v>0.51284403669724765</v>
      </c>
      <c r="K37" s="111" t="s">
        <v>58</v>
      </c>
      <c r="L37" s="107"/>
      <c r="M37" s="107"/>
      <c r="N37" s="227"/>
    </row>
    <row r="38" spans="1:14">
      <c r="A38" s="112" t="s">
        <v>166</v>
      </c>
      <c r="B38" s="113">
        <v>0.45162974975307713</v>
      </c>
      <c r="C38" s="93">
        <f>B38*10.7639104</f>
        <v>4.8613021603165443</v>
      </c>
      <c r="D38" s="114" t="s">
        <v>167</v>
      </c>
      <c r="E38" s="113">
        <v>7.4640000000000004</v>
      </c>
      <c r="F38" s="95">
        <f t="shared" si="0"/>
        <v>24.488189013600003</v>
      </c>
      <c r="G38" s="114" t="s">
        <v>168</v>
      </c>
      <c r="H38" s="228">
        <v>9.1199999999999992</v>
      </c>
      <c r="I38" s="223">
        <f t="shared" si="1"/>
        <v>29.921259887999998</v>
      </c>
      <c r="J38" s="89"/>
      <c r="K38" s="20"/>
      <c r="L38" s="115"/>
      <c r="M38" s="229"/>
      <c r="N38" s="227"/>
    </row>
    <row r="39" spans="1:14" s="30" customFormat="1" ht="5.15">
      <c r="A39" s="68" t="s">
        <v>62</v>
      </c>
      <c r="B39" s="68"/>
      <c r="C39" s="5"/>
      <c r="D39" s="230"/>
      <c r="F39" s="68"/>
      <c r="G39" s="116" t="s">
        <v>63</v>
      </c>
      <c r="H39" s="68"/>
      <c r="J39" s="5"/>
      <c r="K39" s="5"/>
      <c r="L39" s="43"/>
      <c r="M39" s="5"/>
    </row>
    <row r="40" spans="1:14" ht="14.15">
      <c r="A40" s="860" t="s">
        <v>169</v>
      </c>
      <c r="B40" s="861"/>
      <c r="C40" s="117"/>
      <c r="D40" s="75" t="s">
        <v>170</v>
      </c>
      <c r="E40" s="118">
        <f>(1/2*E41*E42)+(2/3*E41*E47)+(2/3*E46*E49)+(2/3*E45*E48)+(E50*(E50-E44)*(E50-E45)*(E50-E43))^0.5</f>
        <v>7.7306000000000008</v>
      </c>
      <c r="F40" s="81">
        <f>(1/2*F41*F42)+(2/3*F41*F47)+(2/3*F46*F49)+(2/3*F45*F48)+(F50*(F50-F44)*(F50-F45)*(F50-F43))^0.5</f>
        <v>83.211486120379121</v>
      </c>
      <c r="G40" s="862" t="s">
        <v>67</v>
      </c>
      <c r="H40" s="863"/>
      <c r="I40" s="231"/>
      <c r="J40" s="76">
        <f>(J44*(J44-J41)*(J44-J42)*(J44-J43))^0.5</f>
        <v>7.7419786048253547</v>
      </c>
      <c r="K40" s="20" t="s">
        <v>171</v>
      </c>
      <c r="L40" s="19"/>
      <c r="M40" s="88"/>
      <c r="N40" s="119"/>
    </row>
    <row r="41" spans="1:14">
      <c r="A41" s="851"/>
      <c r="B41" s="852"/>
      <c r="C41" s="117"/>
      <c r="D41" s="82" t="s">
        <v>33</v>
      </c>
      <c r="E41" s="83">
        <v>8.1189999999999998</v>
      </c>
      <c r="F41" s="95">
        <f t="shared" ref="F41:F48" si="3">E41*3.2808399</f>
        <v>26.637139148100001</v>
      </c>
      <c r="G41" s="82" t="s">
        <v>172</v>
      </c>
      <c r="H41" s="120">
        <v>555</v>
      </c>
      <c r="I41" s="232">
        <f>H41*2.20462262</f>
        <v>1223.5655540999999</v>
      </c>
      <c r="J41" s="86">
        <f>E41</f>
        <v>8.1189999999999998</v>
      </c>
      <c r="K41" s="87" t="s">
        <v>173</v>
      </c>
      <c r="L41" s="122"/>
      <c r="M41" s="119"/>
      <c r="N41" s="5"/>
    </row>
    <row r="42" spans="1:14" ht="14.15">
      <c r="A42" s="123" t="s">
        <v>174</v>
      </c>
      <c r="B42" s="124">
        <f>(B43+B44)*(B46+4*B45)/12</f>
        <v>31.240765610210406</v>
      </c>
      <c r="C42" s="125">
        <f>(C43+C44)*(C46+4*C45)/12</f>
        <v>336.27280339999999</v>
      </c>
      <c r="D42" s="82" t="s">
        <v>175</v>
      </c>
      <c r="E42" s="83">
        <v>1.9071261497291181</v>
      </c>
      <c r="F42" s="93">
        <f t="shared" si="3"/>
        <v>6.2569755663646651</v>
      </c>
      <c r="G42" s="79" t="s">
        <v>176</v>
      </c>
      <c r="H42" s="233"/>
      <c r="I42" s="234"/>
      <c r="J42" s="86">
        <f>E44</f>
        <v>7.4640000000000004</v>
      </c>
      <c r="K42" s="87" t="s">
        <v>177</v>
      </c>
      <c r="L42" s="122"/>
      <c r="M42" s="119"/>
      <c r="N42" s="5"/>
    </row>
    <row r="43" spans="1:14">
      <c r="A43" s="82" t="s">
        <v>178</v>
      </c>
      <c r="B43" s="109">
        <v>9.1503398260914821</v>
      </c>
      <c r="C43" s="95">
        <f>B43*3.2808399</f>
        <v>30.020799999999998</v>
      </c>
      <c r="D43" s="82" t="s">
        <v>179</v>
      </c>
      <c r="E43" s="220">
        <v>2.5000000000000001E-2</v>
      </c>
      <c r="F43" s="225">
        <f>E43*3.2808399</f>
        <v>8.2020997500000012E-2</v>
      </c>
      <c r="G43" s="79" t="s">
        <v>180</v>
      </c>
      <c r="H43" s="235"/>
      <c r="I43" s="236"/>
      <c r="J43" s="86">
        <f>E46</f>
        <v>2.11</v>
      </c>
      <c r="K43" s="87" t="s">
        <v>181</v>
      </c>
      <c r="L43" s="122"/>
      <c r="M43" s="119"/>
      <c r="N43" s="5"/>
    </row>
    <row r="44" spans="1:14">
      <c r="A44" s="82" t="s">
        <v>182</v>
      </c>
      <c r="B44" s="109">
        <v>8.3576159872964251</v>
      </c>
      <c r="C44" s="95">
        <f>B44*3.2808399</f>
        <v>27.420000000000005</v>
      </c>
      <c r="D44" s="82" t="s">
        <v>78</v>
      </c>
      <c r="E44" s="220">
        <v>7.4640000000000004</v>
      </c>
      <c r="F44" s="95">
        <f>E44*3.2808399</f>
        <v>24.488189013600003</v>
      </c>
      <c r="G44" s="79"/>
      <c r="H44" s="235"/>
      <c r="I44" s="236"/>
      <c r="J44" s="99">
        <f>(J41+J42+J43)/2</f>
        <v>8.8465000000000007</v>
      </c>
      <c r="K44" s="98" t="s">
        <v>43</v>
      </c>
      <c r="L44" s="99"/>
      <c r="M44" s="99"/>
      <c r="N44" s="5"/>
    </row>
    <row r="45" spans="1:14">
      <c r="A45" s="82" t="s">
        <v>183</v>
      </c>
      <c r="B45" s="109">
        <v>4.241901593552309</v>
      </c>
      <c r="C45" s="95">
        <f>B45*3.2808399</f>
        <v>13.916999999999998</v>
      </c>
      <c r="D45" s="82" t="s">
        <v>81</v>
      </c>
      <c r="E45" s="237">
        <v>7.4640000000000004</v>
      </c>
      <c r="F45" s="225">
        <f>E45*3.2808399</f>
        <v>24.488189013600003</v>
      </c>
      <c r="G45" s="82" t="s">
        <v>82</v>
      </c>
      <c r="H45" s="120">
        <f>H41</f>
        <v>555</v>
      </c>
      <c r="I45" s="238">
        <f>H45*2.20462262</f>
        <v>1223.5655540999999</v>
      </c>
      <c r="J45" s="2"/>
      <c r="K45" s="98" t="s">
        <v>83</v>
      </c>
      <c r="L45" s="78">
        <f xml:space="preserve"> 10.7639104 *J40</f>
        <v>83.333964021057128</v>
      </c>
      <c r="M45" s="239"/>
      <c r="N45" s="5"/>
    </row>
    <row r="46" spans="1:14">
      <c r="A46" s="82" t="s">
        <v>184</v>
      </c>
      <c r="B46" s="109">
        <v>4.4448983932437542</v>
      </c>
      <c r="C46" s="95">
        <f>B46*3.2808399</f>
        <v>14.583</v>
      </c>
      <c r="D46" s="92" t="s">
        <v>185</v>
      </c>
      <c r="E46" s="220">
        <v>2.11</v>
      </c>
      <c r="F46" s="95">
        <f>E46*3.2808399</f>
        <v>6.9225721890000003</v>
      </c>
      <c r="G46" s="82" t="s">
        <v>186</v>
      </c>
      <c r="H46" s="130">
        <v>160</v>
      </c>
      <c r="I46" s="236">
        <f>H46*2.20462262</f>
        <v>352.73961919999999</v>
      </c>
      <c r="J46" s="103">
        <f>2*J40/J41</f>
        <v>1.9071261497291181</v>
      </c>
      <c r="K46" s="20" t="s">
        <v>187</v>
      </c>
      <c r="L46" s="76"/>
      <c r="M46" s="240"/>
      <c r="N46" s="5"/>
    </row>
    <row r="47" spans="1:14">
      <c r="A47" s="132"/>
      <c r="B47" s="127"/>
      <c r="C47" s="95"/>
      <c r="D47" s="82" t="s">
        <v>188</v>
      </c>
      <c r="E47" s="237">
        <v>2.6392995384615384E-2</v>
      </c>
      <c r="F47" s="225">
        <f t="shared" si="3"/>
        <v>8.6591192338362002E-2</v>
      </c>
      <c r="G47" s="82" t="s">
        <v>88</v>
      </c>
      <c r="H47" s="134">
        <v>171</v>
      </c>
      <c r="I47" s="236">
        <f>H47*2.20462262</f>
        <v>376.99046801999998</v>
      </c>
      <c r="J47" s="106"/>
      <c r="K47" s="20"/>
      <c r="L47" s="20"/>
      <c r="M47" s="2"/>
      <c r="N47" s="5"/>
    </row>
    <row r="48" spans="1:14">
      <c r="A48" s="132"/>
      <c r="B48" s="134"/>
      <c r="C48" s="117"/>
      <c r="D48" s="82" t="s">
        <v>189</v>
      </c>
      <c r="E48" s="237">
        <v>-7.7111166178620072E-2</v>
      </c>
      <c r="F48" s="225">
        <f t="shared" si="3"/>
        <v>-0.25298939073434729</v>
      </c>
      <c r="G48" s="82"/>
      <c r="H48" s="134"/>
      <c r="I48" s="117"/>
      <c r="J48" s="106"/>
      <c r="K48" s="20"/>
      <c r="L48" s="20"/>
      <c r="M48" s="2"/>
      <c r="N48" s="5"/>
    </row>
    <row r="49" spans="1:14">
      <c r="A49" s="135" t="s">
        <v>90</v>
      </c>
      <c r="B49" s="136">
        <f>IF(B46=0,0,B45/B46)</f>
        <v>0.95433038469450726</v>
      </c>
      <c r="C49" s="117"/>
      <c r="D49" s="114" t="s">
        <v>56</v>
      </c>
      <c r="E49" s="113">
        <v>9.6803461538461547E-2</v>
      </c>
      <c r="F49" s="225">
        <f>E49*3.2808399</f>
        <v>0.31759665907350004</v>
      </c>
      <c r="G49" s="114" t="s">
        <v>92</v>
      </c>
      <c r="H49" s="137">
        <f>H45+H47</f>
        <v>726</v>
      </c>
      <c r="I49" s="241">
        <f>H49*2.20462262</f>
        <v>1600.5560221199999</v>
      </c>
      <c r="J49" s="106"/>
      <c r="K49" s="20"/>
      <c r="L49" s="20"/>
      <c r="M49" s="2"/>
      <c r="N49" s="5"/>
    </row>
    <row r="50" spans="1:14" s="30" customFormat="1" ht="7.75">
      <c r="A50" s="43" t="s">
        <v>93</v>
      </c>
      <c r="B50" s="43"/>
      <c r="C50" s="5"/>
      <c r="D50" s="138"/>
      <c r="E50" s="139">
        <f>(1/2*(E43+E44+E45))</f>
        <v>7.4765000000000006</v>
      </c>
      <c r="F50" s="140">
        <f>(1/2*(F43+F44+F45))</f>
        <v>24.529199512350004</v>
      </c>
      <c r="G50" s="43"/>
      <c r="H50" s="43"/>
      <c r="I50" s="198"/>
      <c r="J50" s="5"/>
      <c r="K50" s="5"/>
      <c r="L50" s="5"/>
      <c r="M50" s="5"/>
      <c r="N50" s="5"/>
    </row>
    <row r="51" spans="1:14" ht="24" customHeight="1">
      <c r="A51" s="853" t="s">
        <v>190</v>
      </c>
      <c r="B51" s="853"/>
      <c r="C51" s="853"/>
      <c r="D51" s="853"/>
      <c r="E51" s="853"/>
      <c r="F51" s="853"/>
      <c r="G51" s="853"/>
      <c r="H51" s="853"/>
      <c r="I51" s="242"/>
      <c r="J51" s="141"/>
      <c r="K51" s="2"/>
      <c r="L51" s="2"/>
      <c r="M51" s="2"/>
    </row>
    <row r="52" spans="1:14" s="30" customFormat="1" ht="5.15">
      <c r="A52" s="65"/>
      <c r="B52" s="65"/>
      <c r="C52" s="5"/>
      <c r="D52" s="65"/>
      <c r="E52" s="65"/>
      <c r="F52" s="5"/>
      <c r="G52" s="65"/>
      <c r="H52" s="65"/>
      <c r="I52" s="198"/>
      <c r="J52" s="5"/>
      <c r="K52" s="243"/>
      <c r="L52" s="65"/>
      <c r="M52" s="65"/>
      <c r="N52" s="5"/>
    </row>
    <row r="53" spans="1:14" s="16" customFormat="1">
      <c r="A53" s="854" t="s">
        <v>95</v>
      </c>
      <c r="B53" s="855"/>
      <c r="C53" s="117"/>
      <c r="D53" s="854" t="s">
        <v>96</v>
      </c>
      <c r="E53" s="855"/>
      <c r="F53" s="117"/>
      <c r="G53" s="854" t="s">
        <v>97</v>
      </c>
      <c r="H53" s="856"/>
      <c r="I53" s="117"/>
      <c r="J53" s="199"/>
      <c r="K53" s="144"/>
      <c r="L53" s="20"/>
      <c r="M53" s="20"/>
      <c r="N53" s="20"/>
    </row>
    <row r="54" spans="1:14" s="16" customFormat="1">
      <c r="A54" s="82" t="s">
        <v>98</v>
      </c>
      <c r="B54" s="145">
        <v>6.0324997967999998</v>
      </c>
      <c r="C54" s="95">
        <f>B54/0.3048</f>
        <v>19.791665999999999</v>
      </c>
      <c r="D54" s="82" t="s">
        <v>99</v>
      </c>
      <c r="E54" s="134" t="s">
        <v>13</v>
      </c>
      <c r="F54" s="117"/>
      <c r="G54" s="132" t="s">
        <v>100</v>
      </c>
      <c r="H54" s="134" t="s">
        <v>101</v>
      </c>
      <c r="I54" s="117"/>
      <c r="J54" s="244"/>
      <c r="K54" s="12"/>
      <c r="L54" s="147"/>
      <c r="M54" s="148"/>
      <c r="N54" s="20"/>
    </row>
    <row r="55" spans="1:14" s="16" customFormat="1">
      <c r="A55" s="82"/>
      <c r="B55" s="145"/>
      <c r="C55" s="95"/>
      <c r="D55" s="82" t="s">
        <v>102</v>
      </c>
      <c r="E55" s="134"/>
      <c r="F55" s="117"/>
      <c r="G55" s="132" t="s">
        <v>104</v>
      </c>
      <c r="H55" s="134" t="s">
        <v>101</v>
      </c>
      <c r="I55" s="117"/>
      <c r="J55" s="244"/>
      <c r="K55" s="12"/>
      <c r="L55" s="149"/>
      <c r="M55" s="150"/>
      <c r="N55" s="20"/>
    </row>
    <row r="56" spans="1:14" s="16" customFormat="1">
      <c r="A56" s="82" t="s">
        <v>105</v>
      </c>
      <c r="B56" s="83">
        <v>4.5</v>
      </c>
      <c r="C56" s="95">
        <f>B56/0.3048</f>
        <v>14.763779527559054</v>
      </c>
      <c r="D56" s="82" t="s">
        <v>106</v>
      </c>
      <c r="E56" s="134"/>
      <c r="F56" s="117"/>
      <c r="G56" s="82" t="s">
        <v>107</v>
      </c>
      <c r="H56" s="134" t="s">
        <v>191</v>
      </c>
      <c r="I56" s="117"/>
      <c r="J56" s="244"/>
      <c r="K56" s="2"/>
      <c r="L56" s="149"/>
      <c r="M56" s="150"/>
      <c r="N56" s="20"/>
    </row>
    <row r="57" spans="1:14" s="16" customFormat="1">
      <c r="A57" s="82" t="s">
        <v>108</v>
      </c>
      <c r="B57" s="145">
        <v>1.2</v>
      </c>
      <c r="C57" s="95">
        <f>B57/0.3048</f>
        <v>3.9370078740157477</v>
      </c>
      <c r="D57" s="151" t="s">
        <v>109</v>
      </c>
      <c r="E57" s="134"/>
      <c r="F57" s="117"/>
      <c r="G57" s="82" t="s">
        <v>110</v>
      </c>
      <c r="H57" s="152" t="s">
        <v>111</v>
      </c>
      <c r="I57" s="117"/>
      <c r="J57" s="244"/>
      <c r="K57" s="2"/>
      <c r="L57" s="149"/>
      <c r="M57" s="150"/>
      <c r="N57" s="20"/>
    </row>
    <row r="58" spans="1:14" s="16" customFormat="1">
      <c r="A58" s="82" t="s">
        <v>112</v>
      </c>
      <c r="B58" s="145">
        <v>0</v>
      </c>
      <c r="C58" s="95">
        <f>B58/0.3048</f>
        <v>0</v>
      </c>
      <c r="D58" s="82" t="s">
        <v>113</v>
      </c>
      <c r="E58" s="134" t="s">
        <v>101</v>
      </c>
      <c r="F58" s="117"/>
      <c r="G58" s="79" t="s">
        <v>192</v>
      </c>
      <c r="H58" s="245">
        <v>0.44</v>
      </c>
      <c r="I58" s="246"/>
      <c r="J58" s="244"/>
      <c r="K58" s="2"/>
      <c r="L58" s="149"/>
      <c r="M58" s="150"/>
      <c r="N58" s="20"/>
    </row>
    <row r="59" spans="1:14" s="16" customFormat="1">
      <c r="A59" s="114" t="s">
        <v>115</v>
      </c>
      <c r="B59" s="154">
        <v>0</v>
      </c>
      <c r="C59" s="95">
        <f>B59*
3.2808399</f>
        <v>0</v>
      </c>
      <c r="D59" s="155" t="s">
        <v>116</v>
      </c>
      <c r="E59" s="156"/>
      <c r="F59" s="117"/>
      <c r="G59" s="114" t="s">
        <v>117</v>
      </c>
      <c r="H59" s="157" t="s">
        <v>101</v>
      </c>
      <c r="I59" s="117"/>
      <c r="J59" s="244"/>
      <c r="K59" s="25"/>
      <c r="L59" s="158"/>
      <c r="M59" s="20"/>
      <c r="N59" s="20"/>
    </row>
    <row r="60" spans="1:14" s="30" customFormat="1" ht="5.15">
      <c r="A60" s="65"/>
      <c r="B60" s="68"/>
      <c r="C60" s="5"/>
      <c r="D60" s="65"/>
      <c r="E60" s="65"/>
      <c r="F60" s="65"/>
      <c r="G60" s="65"/>
      <c r="H60" s="65"/>
      <c r="I60" s="198"/>
      <c r="J60" s="5"/>
      <c r="K60" s="247"/>
      <c r="L60" s="43"/>
      <c r="M60" s="247"/>
      <c r="N60" s="159"/>
    </row>
    <row r="61" spans="1:14" s="16" customFormat="1">
      <c r="A61" s="160" t="s">
        <v>118</v>
      </c>
      <c r="B61" s="161"/>
      <c r="C61" s="117"/>
      <c r="D61" s="160" t="s">
        <v>119</v>
      </c>
      <c r="E61" s="162"/>
      <c r="F61" s="162"/>
      <c r="G61" s="162"/>
      <c r="H61" s="161"/>
      <c r="I61" s="117"/>
      <c r="J61" s="146"/>
      <c r="K61" s="20"/>
      <c r="L61" s="20"/>
      <c r="M61" s="20"/>
      <c r="N61" s="20"/>
    </row>
    <row r="62" spans="1:14">
      <c r="A62" s="82" t="s">
        <v>120</v>
      </c>
      <c r="B62" s="248"/>
      <c r="C62" s="117"/>
      <c r="D62" s="82" t="s">
        <v>121</v>
      </c>
      <c r="E62" s="164" t="s">
        <v>122</v>
      </c>
      <c r="F62" s="2"/>
      <c r="G62" s="12" t="s">
        <v>123</v>
      </c>
      <c r="H62" s="134"/>
      <c r="I62" s="117"/>
      <c r="J62" s="146"/>
      <c r="K62" s="20"/>
      <c r="L62" s="20"/>
      <c r="M62" s="165"/>
      <c r="N62" s="165"/>
    </row>
    <row r="63" spans="1:14">
      <c r="A63" s="114" t="s">
        <v>124</v>
      </c>
      <c r="B63" s="157" t="s">
        <v>193</v>
      </c>
      <c r="C63" s="117"/>
      <c r="D63" s="114" t="s">
        <v>125</v>
      </c>
      <c r="E63" s="167"/>
      <c r="F63" s="168"/>
      <c r="G63" s="169" t="s">
        <v>126</v>
      </c>
      <c r="H63" s="170"/>
      <c r="I63" s="117"/>
      <c r="J63" s="146"/>
      <c r="K63" s="20"/>
      <c r="L63" s="20"/>
      <c r="M63" s="20"/>
      <c r="N63" s="20"/>
    </row>
    <row r="64" spans="1:14" s="30" customFormat="1" ht="5.15">
      <c r="A64" s="43"/>
      <c r="B64" s="43"/>
      <c r="C64" s="5"/>
      <c r="D64" s="43"/>
      <c r="E64" s="43"/>
      <c r="F64" s="43"/>
      <c r="G64" s="43"/>
      <c r="H64" s="43"/>
      <c r="I64" s="198"/>
      <c r="J64" s="5"/>
      <c r="K64" s="5"/>
      <c r="L64" s="5"/>
      <c r="M64" s="5"/>
      <c r="N64" s="5"/>
    </row>
    <row r="65" spans="1:17">
      <c r="A65" s="171" t="s">
        <v>127</v>
      </c>
      <c r="B65" s="172"/>
      <c r="C65" s="172"/>
      <c r="D65" s="171" t="s">
        <v>128</v>
      </c>
      <c r="E65" s="172"/>
      <c r="F65" s="172"/>
      <c r="G65" s="172"/>
      <c r="H65" s="172"/>
      <c r="I65" s="199"/>
      <c r="J65" s="249"/>
      <c r="K65" s="171"/>
      <c r="L65" s="172"/>
      <c r="M65" s="250"/>
      <c r="N65" s="250"/>
    </row>
    <row r="66" spans="1:17" ht="63" customHeight="1">
      <c r="A66" s="857"/>
      <c r="B66" s="858"/>
      <c r="C66" s="858"/>
      <c r="D66" s="858"/>
      <c r="E66" s="858"/>
      <c r="F66" s="858"/>
      <c r="G66" s="858"/>
      <c r="H66" s="859"/>
      <c r="I66" s="117"/>
      <c r="J66" s="173"/>
      <c r="K66" s="174"/>
      <c r="L66" s="174"/>
      <c r="M66" s="174"/>
      <c r="N66" s="174"/>
      <c r="O66" s="174"/>
      <c r="P66" s="174"/>
      <c r="Q66" s="174"/>
    </row>
    <row r="67" spans="1:17" s="30" customFormat="1" ht="5.15">
      <c r="A67" s="68"/>
      <c r="B67" s="68"/>
      <c r="C67" s="68"/>
      <c r="D67" s="68"/>
      <c r="E67" s="68"/>
      <c r="F67" s="68"/>
      <c r="G67" s="68"/>
      <c r="H67" s="68"/>
      <c r="I67" s="198"/>
      <c r="J67" s="43"/>
      <c r="K67" s="43"/>
      <c r="L67" s="43"/>
      <c r="M67" s="43"/>
    </row>
    <row r="68" spans="1:17" ht="27.75" customHeight="1">
      <c r="A68" s="847" t="s">
        <v>194</v>
      </c>
      <c r="B68" s="848"/>
      <c r="C68" s="848"/>
      <c r="D68" s="848"/>
      <c r="E68" s="848"/>
      <c r="F68" s="848"/>
      <c r="G68" s="848"/>
      <c r="H68" s="849"/>
      <c r="I68" s="143"/>
      <c r="J68" s="143"/>
      <c r="K68" s="2"/>
      <c r="L68" s="2"/>
      <c r="M68" s="2"/>
    </row>
    <row r="69" spans="1:17" s="16" customFormat="1" ht="10.3">
      <c r="A69" s="79" t="s">
        <v>130</v>
      </c>
      <c r="B69" s="20"/>
      <c r="C69" s="20"/>
      <c r="D69" s="20"/>
      <c r="E69" s="20"/>
      <c r="F69" s="20"/>
      <c r="G69" s="20"/>
      <c r="H69" s="176" t="s">
        <v>131</v>
      </c>
      <c r="I69" s="177"/>
      <c r="J69" s="177"/>
      <c r="K69" s="20"/>
      <c r="L69" s="20"/>
      <c r="M69" s="20"/>
    </row>
    <row r="70" spans="1:17" ht="14.15">
      <c r="A70" s="178" t="s">
        <v>132</v>
      </c>
      <c r="B70" s="850" t="s">
        <v>133</v>
      </c>
      <c r="C70" s="850"/>
      <c r="D70" s="850"/>
      <c r="E70" s="850"/>
      <c r="F70" s="179"/>
      <c r="G70" s="180" t="s">
        <v>134</v>
      </c>
      <c r="H70" s="181">
        <f>A2</f>
        <v>42797</v>
      </c>
      <c r="I70" s="143"/>
      <c r="J70" s="143"/>
      <c r="K70" s="2"/>
      <c r="L70" s="2"/>
      <c r="M70" s="2"/>
    </row>
    <row r="71" spans="1:17">
      <c r="A71" s="182"/>
      <c r="B71" s="2"/>
      <c r="C71" s="2"/>
      <c r="D71" s="183"/>
      <c r="E71" s="2"/>
      <c r="F71" s="2"/>
      <c r="G71" s="2"/>
      <c r="H71" s="2"/>
      <c r="I71" s="143"/>
      <c r="J71" s="143"/>
      <c r="K71" s="2"/>
    </row>
    <row r="72" spans="1:17" ht="14.6">
      <c r="A72" s="184"/>
      <c r="B72" s="185"/>
      <c r="C72" s="185"/>
      <c r="D72" s="185"/>
      <c r="E72" s="185"/>
      <c r="F72" s="185"/>
      <c r="G72" s="186"/>
      <c r="H72" s="2"/>
      <c r="I72" s="177"/>
      <c r="J72" s="177"/>
      <c r="K72" s="20"/>
    </row>
    <row r="73" spans="1:17" ht="14.6">
      <c r="A73" s="187"/>
      <c r="B73" s="185"/>
      <c r="C73" s="185"/>
      <c r="D73" s="188"/>
      <c r="E73" s="185"/>
      <c r="F73" s="185"/>
      <c r="G73" s="186"/>
      <c r="H73" s="2"/>
      <c r="I73" s="2"/>
      <c r="J73" s="143"/>
      <c r="K73" s="2"/>
    </row>
    <row r="74" spans="1:17" ht="14.6">
      <c r="A74" s="185"/>
      <c r="B74" s="185"/>
      <c r="C74" s="185"/>
      <c r="D74" s="185"/>
      <c r="E74" s="185"/>
      <c r="F74" s="185"/>
      <c r="G74" s="189"/>
      <c r="H74" s="2"/>
      <c r="I74" s="2"/>
      <c r="J74" s="143"/>
      <c r="K74" s="2"/>
    </row>
    <row r="75" spans="1:17">
      <c r="A75" s="183"/>
      <c r="B75" s="2"/>
      <c r="C75" s="2"/>
      <c r="D75" s="190"/>
      <c r="E75" s="2"/>
      <c r="F75" s="2"/>
      <c r="G75" s="2"/>
      <c r="H75" s="2"/>
      <c r="I75" s="2"/>
      <c r="J75" s="177"/>
      <c r="K75" s="20"/>
    </row>
  </sheetData>
  <mergeCells count="21">
    <mergeCell ref="A40:B40"/>
    <mergeCell ref="G40:H40"/>
    <mergeCell ref="A11:H11"/>
    <mergeCell ref="A13:H13"/>
    <mergeCell ref="B15:D15"/>
    <mergeCell ref="G15:H15"/>
    <mergeCell ref="B16:D16"/>
    <mergeCell ref="G16:H16"/>
    <mergeCell ref="B17:D17"/>
    <mergeCell ref="G17:H17"/>
    <mergeCell ref="B18:D18"/>
    <mergeCell ref="G18:H18"/>
    <mergeCell ref="A26:H26"/>
    <mergeCell ref="A68:H68"/>
    <mergeCell ref="B70:E70"/>
    <mergeCell ref="A41:B41"/>
    <mergeCell ref="A51:H51"/>
    <mergeCell ref="A53:B53"/>
    <mergeCell ref="D53:E53"/>
    <mergeCell ref="G53:H53"/>
    <mergeCell ref="A66:H66"/>
  </mergeCells>
  <printOptions horizontalCentered="1" verticalCentered="1"/>
  <pageMargins left="0.35433070866141736" right="0.35433070866141736" top="0.39370078740157483" bottom="0.39370078740157483" header="0.31496062992125984" footer="0.31496062992125984"/>
  <pageSetup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2"/>
  <sheetViews>
    <sheetView workbookViewId="0">
      <selection activeCell="B15" sqref="B15:D18"/>
    </sheetView>
  </sheetViews>
  <sheetFormatPr defaultColWidth="9.15234375" defaultRowHeight="14.6"/>
  <cols>
    <col min="1" max="1" width="39.3046875" style="465" bestFit="1" customWidth="1"/>
    <col min="2" max="2" width="11.15234375" style="465" customWidth="1"/>
    <col min="3" max="3" width="9.15234375" style="465"/>
    <col min="4" max="4" width="1.3828125" style="465" customWidth="1"/>
    <col min="5" max="5" width="9.15234375" style="465" hidden="1" customWidth="1"/>
    <col min="6" max="6" width="7" style="465" hidden="1" customWidth="1"/>
    <col min="7" max="12" width="9.15234375" style="465" hidden="1" customWidth="1"/>
    <col min="13" max="13" width="11.53515625" style="465" customWidth="1"/>
    <col min="14" max="14" width="10.15234375" style="257" customWidth="1"/>
    <col min="15" max="15" width="9.15234375" style="257"/>
    <col min="16" max="16" width="10.15234375" style="257" customWidth="1"/>
    <col min="17" max="16384" width="9.15234375" style="257"/>
  </cols>
  <sheetData>
    <row r="1" spans="1:18" ht="17.600000000000001">
      <c r="A1" s="251" t="s">
        <v>195</v>
      </c>
      <c r="B1" s="252" t="s">
        <v>196</v>
      </c>
      <c r="C1" s="253" t="s">
        <v>197</v>
      </c>
      <c r="D1" s="171"/>
      <c r="E1" s="252" t="s">
        <v>196</v>
      </c>
      <c r="F1" s="253" t="s">
        <v>197</v>
      </c>
      <c r="G1" s="171"/>
      <c r="H1" s="254"/>
      <c r="I1" s="254"/>
      <c r="J1" s="255"/>
      <c r="K1" s="255"/>
      <c r="L1" s="171"/>
      <c r="M1" s="20"/>
      <c r="N1" s="20"/>
      <c r="O1" s="256"/>
      <c r="P1" s="256"/>
      <c r="Q1" s="256"/>
      <c r="R1" s="256"/>
    </row>
    <row r="2" spans="1:18" ht="17.600000000000001">
      <c r="A2" s="258" t="s">
        <v>198</v>
      </c>
      <c r="B2" s="259">
        <f>B29</f>
        <v>18.437219656285716</v>
      </c>
      <c r="C2" s="260">
        <f>C29</f>
        <v>198.45658040537825</v>
      </c>
      <c r="D2" s="261"/>
      <c r="E2" s="261"/>
      <c r="F2" s="261"/>
      <c r="G2" s="261"/>
      <c r="H2" s="261"/>
      <c r="I2" s="31"/>
      <c r="J2" s="32"/>
      <c r="K2" s="32"/>
      <c r="L2" s="32"/>
      <c r="M2" s="32"/>
      <c r="N2" s="5"/>
      <c r="O2" s="32"/>
      <c r="P2" s="32"/>
      <c r="Q2" s="116"/>
      <c r="R2" s="116"/>
    </row>
    <row r="3" spans="1:18" s="264" customFormat="1" ht="5.15">
      <c r="A3" s="262"/>
      <c r="B3" s="31"/>
      <c r="C3" s="31"/>
      <c r="D3" s="261"/>
      <c r="E3" s="261"/>
      <c r="F3" s="261"/>
      <c r="G3" s="31"/>
      <c r="H3" s="32"/>
      <c r="I3" s="32"/>
      <c r="J3" s="32"/>
      <c r="K3" s="32"/>
      <c r="L3" s="5"/>
      <c r="M3" s="32"/>
      <c r="N3" s="32"/>
      <c r="O3" s="116"/>
      <c r="P3" s="116"/>
      <c r="Q3" s="116"/>
      <c r="R3" s="263"/>
    </row>
    <row r="4" spans="1:18" s="264" customFormat="1" ht="15.45">
      <c r="A4" s="265" t="s">
        <v>199</v>
      </c>
      <c r="B4" s="31"/>
      <c r="C4" s="31"/>
      <c r="D4" s="261"/>
      <c r="E4" s="261"/>
      <c r="F4" s="261"/>
      <c r="G4" s="31"/>
      <c r="H4" s="32"/>
      <c r="I4" s="32"/>
      <c r="J4" s="32"/>
      <c r="K4" s="32"/>
      <c r="L4" s="5"/>
      <c r="M4" s="32"/>
      <c r="N4" s="32"/>
      <c r="O4" s="116"/>
      <c r="P4" s="116"/>
      <c r="Q4" s="116"/>
      <c r="R4" s="263"/>
    </row>
    <row r="5" spans="1:18" s="264" customFormat="1" ht="14.15">
      <c r="A5" s="266" t="s">
        <v>200</v>
      </c>
      <c r="B5" s="31"/>
      <c r="C5" s="31"/>
      <c r="D5" s="261"/>
      <c r="E5" s="261"/>
      <c r="F5" s="261"/>
      <c r="G5" s="31"/>
      <c r="H5" s="32"/>
      <c r="I5" s="32"/>
      <c r="J5" s="32"/>
      <c r="K5" s="32"/>
      <c r="L5" s="5"/>
      <c r="M5" s="32"/>
      <c r="N5" s="32"/>
      <c r="O5" s="116"/>
      <c r="P5" s="116"/>
      <c r="Q5" s="116"/>
      <c r="R5" s="263"/>
    </row>
    <row r="6" spans="1:18" s="264" customFormat="1" ht="5.15">
      <c r="A6" s="262"/>
      <c r="B6" s="31"/>
      <c r="C6" s="31"/>
      <c r="D6" s="261"/>
      <c r="E6" s="261"/>
      <c r="F6" s="261"/>
      <c r="G6" s="31"/>
      <c r="H6" s="32"/>
      <c r="I6" s="32"/>
      <c r="J6" s="32"/>
      <c r="K6" s="32"/>
      <c r="L6" s="5"/>
      <c r="M6" s="32"/>
      <c r="N6" s="32"/>
      <c r="O6" s="116"/>
      <c r="P6" s="116"/>
      <c r="Q6" s="116"/>
      <c r="R6" s="263"/>
    </row>
    <row r="7" spans="1:18" s="264" customFormat="1" ht="11.6">
      <c r="A7" s="267" t="s">
        <v>201</v>
      </c>
      <c r="B7" s="31"/>
      <c r="C7" s="31"/>
      <c r="D7" s="261"/>
      <c r="E7" s="261"/>
      <c r="F7" s="261"/>
      <c r="G7" s="31"/>
      <c r="H7" s="32"/>
      <c r="I7" s="32"/>
      <c r="J7" s="32"/>
      <c r="K7" s="32"/>
      <c r="L7" s="5"/>
      <c r="M7" s="32"/>
      <c r="N7" s="32"/>
      <c r="O7" s="116"/>
      <c r="P7" s="116"/>
      <c r="Q7" s="116"/>
      <c r="R7" s="263"/>
    </row>
    <row r="8" spans="1:18" s="264" customFormat="1" ht="11.6">
      <c r="A8" s="267" t="s">
        <v>202</v>
      </c>
      <c r="B8" s="31"/>
      <c r="C8" s="31"/>
      <c r="D8" s="261"/>
      <c r="E8" s="261"/>
      <c r="F8" s="261"/>
      <c r="G8" s="31"/>
      <c r="H8" s="32"/>
      <c r="I8" s="32"/>
      <c r="J8" s="32"/>
      <c r="K8" s="32"/>
      <c r="L8" s="267"/>
      <c r="M8" s="31"/>
      <c r="N8" s="31"/>
      <c r="O8" s="262"/>
      <c r="P8" s="31"/>
      <c r="Q8" s="31"/>
      <c r="R8" s="263"/>
    </row>
    <row r="9" spans="1:18" s="264" customFormat="1" ht="11.6">
      <c r="A9" s="268" t="s">
        <v>203</v>
      </c>
      <c r="B9" s="47"/>
      <c r="C9" s="31"/>
      <c r="D9" s="261"/>
      <c r="E9" s="261"/>
      <c r="F9" s="261"/>
      <c r="G9" s="31"/>
      <c r="H9" s="32"/>
      <c r="I9" s="32"/>
      <c r="J9" s="32"/>
      <c r="K9" s="32"/>
      <c r="L9" s="267"/>
      <c r="M9" s="31"/>
      <c r="N9" s="31"/>
      <c r="O9" s="262"/>
      <c r="P9" s="31"/>
      <c r="Q9" s="31"/>
      <c r="R9" s="263"/>
    </row>
    <row r="10" spans="1:18" s="264" customFormat="1" ht="10.3">
      <c r="A10" s="269" t="s">
        <v>204</v>
      </c>
      <c r="B10" s="270" t="s">
        <v>18</v>
      </c>
      <c r="C10" s="271"/>
      <c r="D10" s="272"/>
      <c r="E10" s="272"/>
      <c r="F10" s="272"/>
      <c r="G10" s="271"/>
      <c r="H10" s="273"/>
      <c r="I10" s="273"/>
      <c r="J10" s="273"/>
      <c r="K10" s="273"/>
      <c r="L10" s="65"/>
      <c r="M10" s="273"/>
      <c r="N10" s="273"/>
      <c r="O10" s="274"/>
      <c r="P10" s="274"/>
      <c r="Q10" s="274"/>
      <c r="R10" s="275"/>
    </row>
    <row r="11" spans="1:18" s="263" customFormat="1" ht="5.15">
      <c r="N11" s="31"/>
      <c r="O11" s="262"/>
      <c r="P11" s="31"/>
      <c r="Q11" s="31"/>
    </row>
    <row r="12" spans="1:18" s="283" customFormat="1" ht="14.15">
      <c r="A12" s="276" t="s">
        <v>205</v>
      </c>
      <c r="B12" s="277"/>
      <c r="C12" s="277"/>
      <c r="D12" s="278"/>
      <c r="E12" s="279"/>
      <c r="F12" s="279"/>
      <c r="G12" s="264"/>
      <c r="H12" s="280"/>
      <c r="I12" s="280"/>
      <c r="J12" s="280"/>
      <c r="K12" s="280"/>
      <c r="L12" s="276"/>
      <c r="M12" s="277"/>
      <c r="N12" s="281"/>
      <c r="O12" s="282"/>
      <c r="P12" s="281"/>
      <c r="Q12" s="281"/>
    </row>
    <row r="13" spans="1:18" s="263" customFormat="1" ht="12.45">
      <c r="A13" s="267" t="s">
        <v>206</v>
      </c>
      <c r="B13" s="31"/>
      <c r="C13" s="31"/>
      <c r="D13" s="31"/>
      <c r="E13" s="31"/>
      <c r="F13" s="31"/>
      <c r="G13" s="31"/>
      <c r="H13" s="32"/>
      <c r="I13" s="32"/>
      <c r="J13" s="32"/>
      <c r="K13" s="32"/>
      <c r="L13" s="262"/>
      <c r="M13" s="31"/>
      <c r="N13" s="31"/>
      <c r="O13" s="262"/>
      <c r="P13" s="31"/>
      <c r="Q13" s="31"/>
    </row>
    <row r="14" spans="1:18" s="256" customFormat="1" ht="12.45">
      <c r="A14" s="267" t="s">
        <v>207</v>
      </c>
      <c r="B14" s="284" t="s">
        <v>208</v>
      </c>
      <c r="C14" s="285" t="s">
        <v>209</v>
      </c>
      <c r="D14" s="286"/>
      <c r="F14" s="287"/>
      <c r="G14" s="288"/>
      <c r="H14" s="40"/>
      <c r="I14" s="40"/>
      <c r="J14" s="40"/>
      <c r="K14" s="40"/>
      <c r="L14" s="12"/>
      <c r="M14" s="40"/>
      <c r="N14" s="18"/>
    </row>
    <row r="15" spans="1:18" s="296" customFormat="1" ht="12.45">
      <c r="A15" s="267"/>
      <c r="B15" s="289">
        <f>B29</f>
        <v>18.437219656285716</v>
      </c>
      <c r="C15" s="287">
        <v>18.390999999999998</v>
      </c>
      <c r="D15" s="12"/>
      <c r="E15" s="290"/>
      <c r="F15" s="291"/>
      <c r="G15" s="292"/>
      <c r="H15" s="293"/>
      <c r="I15" s="293"/>
      <c r="J15" s="293"/>
      <c r="K15" s="293"/>
      <c r="L15" s="294"/>
      <c r="M15" s="293"/>
      <c r="N15" s="295"/>
      <c r="O15" s="290"/>
      <c r="P15" s="290"/>
      <c r="Q15" s="290"/>
      <c r="R15" s="290"/>
    </row>
    <row r="16" spans="1:18" ht="12.45">
      <c r="A16" s="257"/>
      <c r="B16" s="297"/>
      <c r="C16" s="298"/>
      <c r="D16" s="204"/>
      <c r="E16" s="204"/>
      <c r="F16" s="204"/>
      <c r="G16" s="298"/>
      <c r="H16" s="293"/>
      <c r="I16" s="293"/>
      <c r="J16" s="293"/>
      <c r="K16" s="293"/>
      <c r="L16" s="257"/>
      <c r="M16" s="293"/>
      <c r="N16" s="295"/>
      <c r="O16" s="290"/>
      <c r="P16" s="290"/>
      <c r="Q16" s="290"/>
      <c r="R16" s="290"/>
    </row>
    <row r="17" spans="1:18" ht="12.45">
      <c r="A17" s="299" t="s">
        <v>210</v>
      </c>
      <c r="B17" s="300" t="s">
        <v>211</v>
      </c>
      <c r="C17" s="301" t="s">
        <v>212</v>
      </c>
      <c r="D17" s="302"/>
      <c r="E17" s="303" t="s">
        <v>213</v>
      </c>
      <c r="F17" s="302"/>
      <c r="G17" s="40"/>
      <c r="H17" s="40"/>
      <c r="I17" s="40"/>
      <c r="J17" s="40"/>
      <c r="K17" s="40"/>
      <c r="L17" s="40"/>
      <c r="M17" s="40"/>
      <c r="N17" s="18"/>
      <c r="O17" s="256"/>
      <c r="P17" s="256"/>
      <c r="Q17" s="256"/>
      <c r="R17" s="256"/>
    </row>
    <row r="18" spans="1:18" ht="15.45">
      <c r="A18" s="304" t="s">
        <v>34</v>
      </c>
      <c r="B18" s="305">
        <v>9.0709999999999997</v>
      </c>
      <c r="C18" s="306">
        <f>B18*3.2808399</f>
        <v>29.7604987329</v>
      </c>
      <c r="D18" s="307"/>
      <c r="E18" s="308">
        <v>9.35</v>
      </c>
      <c r="F18" s="309">
        <f>E18*3.2808399</f>
        <v>30.675853065000002</v>
      </c>
      <c r="G18" s="310">
        <v>250</v>
      </c>
      <c r="H18" s="311"/>
      <c r="I18" s="312"/>
      <c r="J18" s="313"/>
      <c r="K18" s="40"/>
      <c r="L18" s="40"/>
      <c r="M18" s="40"/>
      <c r="N18" s="18"/>
      <c r="O18" s="256"/>
      <c r="P18" s="256"/>
      <c r="Q18" s="256"/>
      <c r="R18" s="256"/>
    </row>
    <row r="19" spans="1:18" ht="15.45">
      <c r="A19" s="314" t="s">
        <v>214</v>
      </c>
      <c r="B19" s="315">
        <v>9.09</v>
      </c>
      <c r="C19" s="316">
        <f>B19*3.2808399</f>
        <v>29.822834691000001</v>
      </c>
      <c r="D19" s="317"/>
      <c r="E19" s="318">
        <v>9.1</v>
      </c>
      <c r="F19" s="319">
        <f>E19*3.2808399</f>
        <v>29.855643090000001</v>
      </c>
      <c r="G19" s="310">
        <f>B19*$G$18/$B$18</f>
        <v>250.52364678646236</v>
      </c>
      <c r="H19" s="40"/>
      <c r="I19" s="320">
        <v>127.3355</v>
      </c>
      <c r="J19" s="150">
        <v>-83.903700000000001</v>
      </c>
      <c r="K19" s="119">
        <f>J19+90</f>
        <v>6.0962999999999994</v>
      </c>
      <c r="L19" s="40"/>
      <c r="M19" s="40"/>
      <c r="N19" s="18"/>
      <c r="O19" s="256"/>
      <c r="P19" s="256"/>
      <c r="Q19" s="256"/>
      <c r="R19" s="256"/>
    </row>
    <row r="20" spans="1:18" ht="15.45">
      <c r="A20" s="321" t="s">
        <v>215</v>
      </c>
      <c r="B20" s="322">
        <v>2.593</v>
      </c>
      <c r="C20" s="323">
        <f>B20*3.2808399</f>
        <v>8.5072178607000009</v>
      </c>
      <c r="D20" s="324"/>
      <c r="E20" s="325">
        <v>2.72</v>
      </c>
      <c r="F20" s="326">
        <f>E20*3.2808399</f>
        <v>8.9238845280000003</v>
      </c>
      <c r="G20" s="310">
        <f>B20*$G$18/$B$18</f>
        <v>71.464006173520005</v>
      </c>
      <c r="H20" s="320"/>
      <c r="I20" s="320"/>
      <c r="J20" s="327"/>
      <c r="K20" s="327"/>
      <c r="L20" s="42"/>
      <c r="M20" s="40"/>
      <c r="N20" s="18"/>
      <c r="O20" s="256"/>
      <c r="P20" s="256"/>
      <c r="Q20" s="256"/>
      <c r="R20" s="256"/>
    </row>
    <row r="21" spans="1:18" ht="10.75">
      <c r="A21" s="299" t="s">
        <v>210</v>
      </c>
      <c r="B21" s="328"/>
      <c r="C21" s="328"/>
      <c r="D21" s="329"/>
      <c r="E21" s="330"/>
      <c r="F21" s="331"/>
      <c r="G21" s="329"/>
      <c r="H21" s="332"/>
      <c r="I21" s="332"/>
      <c r="J21" s="333"/>
      <c r="K21" s="333"/>
      <c r="L21" s="334"/>
      <c r="M21" s="334"/>
      <c r="N21" s="18"/>
      <c r="O21" s="256"/>
      <c r="P21" s="256"/>
      <c r="Q21" s="256"/>
      <c r="R21" s="256"/>
    </row>
    <row r="22" spans="1:18" ht="12.45">
      <c r="A22" s="335" t="s">
        <v>216</v>
      </c>
      <c r="B22" s="336">
        <v>1.0149999999999999</v>
      </c>
      <c r="C22" s="150">
        <f>B22*3.2808399</f>
        <v>3.3300524984999997</v>
      </c>
      <c r="D22" s="207"/>
      <c r="E22" s="337">
        <v>1.05</v>
      </c>
      <c r="F22" s="338">
        <f>E22*3.2808399</f>
        <v>3.4448818950000004</v>
      </c>
      <c r="G22" s="20"/>
      <c r="H22" s="339"/>
      <c r="I22" s="339"/>
      <c r="J22" s="119"/>
      <c r="K22" s="165">
        <v>0.81069999999999998</v>
      </c>
      <c r="L22" s="119">
        <f>K22*3.2808399</f>
        <v>2.6597769069299999</v>
      </c>
      <c r="M22" s="20"/>
      <c r="N22" s="20"/>
      <c r="O22" s="256"/>
      <c r="P22" s="256"/>
      <c r="Q22" s="256"/>
      <c r="R22" s="256"/>
    </row>
    <row r="23" spans="1:18" ht="12.45">
      <c r="A23" s="82" t="s">
        <v>217</v>
      </c>
      <c r="B23" s="340">
        <v>1.26</v>
      </c>
      <c r="C23" s="150">
        <f>B23*3.2808399</f>
        <v>4.1338582740000005</v>
      </c>
      <c r="D23" s="341"/>
      <c r="E23" s="342">
        <v>1.2549999999999999</v>
      </c>
      <c r="F23" s="338">
        <f>E23*3.2808399</f>
        <v>4.1174540744999995</v>
      </c>
      <c r="G23" s="177"/>
      <c r="H23" s="339"/>
      <c r="I23" s="339"/>
      <c r="J23" s="119"/>
      <c r="K23" s="119"/>
      <c r="L23" s="20"/>
      <c r="M23" s="20"/>
      <c r="N23" s="20"/>
      <c r="O23" s="256"/>
      <c r="P23" s="256"/>
      <c r="Q23" s="256"/>
      <c r="R23" s="256"/>
    </row>
    <row r="24" spans="1:18" ht="12.45">
      <c r="A24" s="82" t="s">
        <v>218</v>
      </c>
      <c r="B24" s="340">
        <v>1.68</v>
      </c>
      <c r="C24" s="150">
        <f>B24*3.2808399</f>
        <v>5.5118110319999998</v>
      </c>
      <c r="D24" s="207"/>
      <c r="E24" s="342">
        <v>1.68</v>
      </c>
      <c r="F24" s="338">
        <f>E24*3.2808399</f>
        <v>5.5118110319999998</v>
      </c>
      <c r="G24" s="20"/>
      <c r="H24" s="339"/>
      <c r="I24" s="339"/>
      <c r="J24" s="119"/>
      <c r="K24" s="165">
        <v>2.1335000000000002</v>
      </c>
      <c r="L24" s="119">
        <f>K24*3.2808399</f>
        <v>6.9996719266500005</v>
      </c>
      <c r="M24" s="20"/>
      <c r="N24" s="20"/>
      <c r="O24" s="256"/>
      <c r="P24" s="256"/>
      <c r="Q24" s="256"/>
      <c r="R24" s="256"/>
    </row>
    <row r="25" spans="1:18" ht="12.45">
      <c r="A25" s="82" t="s">
        <v>219</v>
      </c>
      <c r="B25" s="340">
        <v>2.14</v>
      </c>
      <c r="C25" s="150">
        <f>B25*3.2808399</f>
        <v>7.0209973860000003</v>
      </c>
      <c r="D25" s="202"/>
      <c r="E25" s="342">
        <v>2.125</v>
      </c>
      <c r="F25" s="338">
        <f>E25*3.2808399</f>
        <v>6.9717847875000007</v>
      </c>
      <c r="G25" s="343"/>
      <c r="H25" s="320"/>
      <c r="I25" s="320"/>
      <c r="J25" s="327"/>
      <c r="K25" s="165">
        <v>2.8955000000000002</v>
      </c>
      <c r="L25" s="119">
        <f>K25*3.2808399</f>
        <v>9.4996719304500008</v>
      </c>
      <c r="M25" s="40"/>
      <c r="N25" s="18"/>
      <c r="O25" s="256"/>
      <c r="P25" s="256"/>
      <c r="Q25" s="256"/>
      <c r="R25" s="256"/>
    </row>
    <row r="26" spans="1:18" ht="12.45">
      <c r="A26" s="114" t="s">
        <v>220</v>
      </c>
      <c r="B26" s="344">
        <v>2.44</v>
      </c>
      <c r="C26" s="150">
        <f>B26*3.2808399</f>
        <v>8.0052493560000002</v>
      </c>
      <c r="D26" s="345"/>
      <c r="E26" s="346">
        <v>2.44</v>
      </c>
      <c r="F26" s="338">
        <f>E26*3.2808399</f>
        <v>8.0052493560000002</v>
      </c>
      <c r="G26" s="25"/>
      <c r="H26" s="339"/>
      <c r="I26" s="347"/>
      <c r="J26" s="884"/>
      <c r="K26" s="885"/>
      <c r="L26" s="885"/>
      <c r="M26" s="348"/>
      <c r="N26" s="349"/>
      <c r="O26" s="256"/>
      <c r="P26" s="256"/>
      <c r="Q26" s="256"/>
      <c r="R26" s="256"/>
    </row>
    <row r="27" spans="1:18" ht="12.45">
      <c r="A27" s="350"/>
      <c r="B27" s="227"/>
      <c r="C27" s="351"/>
      <c r="D27" s="351"/>
      <c r="E27" s="351"/>
      <c r="F27" s="351"/>
      <c r="G27" s="351"/>
      <c r="H27" s="352"/>
      <c r="I27" s="352"/>
      <c r="J27" s="353"/>
      <c r="K27" s="353"/>
      <c r="L27" s="351"/>
      <c r="M27" s="20"/>
      <c r="N27" s="20"/>
      <c r="O27" s="256"/>
      <c r="P27" s="256"/>
      <c r="Q27" s="256"/>
      <c r="R27" s="256"/>
    </row>
    <row r="28" spans="1:18" ht="12.45">
      <c r="A28" s="191"/>
      <c r="B28" s="252" t="s">
        <v>196</v>
      </c>
      <c r="C28" s="253" t="s">
        <v>197</v>
      </c>
      <c r="D28" s="171"/>
      <c r="E28" s="252" t="s">
        <v>196</v>
      </c>
      <c r="F28" s="253" t="s">
        <v>197</v>
      </c>
      <c r="G28" s="171"/>
      <c r="H28" s="254"/>
      <c r="I28" s="254"/>
      <c r="J28" s="255"/>
      <c r="K28" s="255"/>
      <c r="L28" s="171"/>
      <c r="M28" s="20"/>
      <c r="N28" s="20"/>
      <c r="O28" s="256"/>
      <c r="P28" s="256"/>
      <c r="Q28" s="256"/>
      <c r="R28" s="256"/>
    </row>
    <row r="29" spans="1:18" ht="17.600000000000001">
      <c r="A29" s="354" t="s">
        <v>221</v>
      </c>
      <c r="B29" s="355">
        <f>B30+B45</f>
        <v>18.437219656285716</v>
      </c>
      <c r="C29" s="356">
        <f>B29*10.7639104</f>
        <v>198.45658040537825</v>
      </c>
      <c r="D29" s="357"/>
      <c r="E29" s="358">
        <f>E30+E45</f>
        <v>19.038941269562482</v>
      </c>
      <c r="F29" s="359">
        <f>E29*10.7639104</f>
        <v>204.9334579364328</v>
      </c>
      <c r="G29" s="360"/>
      <c r="H29" s="361">
        <f>(C29/C36)-1</f>
        <v>2.9524191230013264E-2</v>
      </c>
      <c r="I29" s="362"/>
      <c r="J29" s="119"/>
      <c r="K29" s="119"/>
      <c r="L29" s="20"/>
      <c r="M29" s="20"/>
      <c r="N29" s="363"/>
      <c r="O29" s="256"/>
      <c r="P29" s="256"/>
      <c r="Q29" s="256"/>
      <c r="R29" s="256"/>
    </row>
    <row r="30" spans="1:18" ht="12.45">
      <c r="A30" s="364" t="s">
        <v>222</v>
      </c>
      <c r="B30" s="365">
        <f>(B44+B50)/2*B32+(B44+B43)/2*(B31-B32)+(B43+B42)/2*(B33-B31)+(B41+B42)/2*(B34-B33)+(B41+B40)/2*(B38-B34)</f>
        <v>17.985589906532638</v>
      </c>
      <c r="C30" s="366">
        <f>B30*10.7639104</f>
        <v>193.59527824506171</v>
      </c>
      <c r="D30" s="357"/>
      <c r="E30" s="367">
        <f>(E44+E50)/2*E32+(E44+E43)/2*(E31-E32)+(E43+E42)/2*(E33-E31)+(E41+E42)/2*(E34-E33)+(E41+E40)/2*(E38-E34)</f>
        <v>18.008791395440142</v>
      </c>
      <c r="F30" s="368">
        <f>E30*10.7639104</f>
        <v>193.84501699280867</v>
      </c>
      <c r="G30" s="20"/>
      <c r="H30" s="339"/>
      <c r="I30" s="339"/>
      <c r="J30" s="119"/>
      <c r="K30" s="119"/>
      <c r="L30" s="20"/>
      <c r="M30" s="20"/>
      <c r="N30" s="363"/>
      <c r="O30" s="256"/>
      <c r="P30" s="256"/>
      <c r="Q30" s="256"/>
      <c r="R30" s="256"/>
    </row>
    <row r="31" spans="1:18" ht="11.6">
      <c r="A31" s="369" t="s">
        <v>223</v>
      </c>
      <c r="B31" s="370">
        <f>B38/2+(B43-B39/2)/B38*B39</f>
        <v>4.6117572466109413</v>
      </c>
      <c r="C31" s="371">
        <f>B38/2+(B43-B39/2)/B38*B39</f>
        <v>4.6117572466109413</v>
      </c>
      <c r="D31" s="372"/>
      <c r="E31" s="373">
        <f>E38/2+(E43-E39/2)/E38*E39</f>
        <v>4.5977300794651068</v>
      </c>
      <c r="F31" s="371">
        <f>E38/2+(E43-E39/2)/E38*E39</f>
        <v>4.5977300794651068</v>
      </c>
      <c r="G31" s="20"/>
      <c r="H31" s="339"/>
      <c r="I31" s="339"/>
      <c r="J31" s="119"/>
      <c r="K31" s="119"/>
      <c r="L31" s="20"/>
      <c r="M31" s="20"/>
      <c r="N31" s="363"/>
      <c r="O31" s="256"/>
      <c r="P31" s="256"/>
      <c r="Q31" s="256"/>
      <c r="R31" s="256"/>
    </row>
    <row r="32" spans="1:18" ht="11.6">
      <c r="A32" s="79" t="s">
        <v>224</v>
      </c>
      <c r="B32" s="374">
        <f>B31/2+(B44-(B39+B43)/2)*(B39-B43)/B31</f>
        <v>2.3138306248502967</v>
      </c>
      <c r="C32" s="371">
        <f>B31/2+(B44-(B39+B43)/2)*(B39-B43)/B31</f>
        <v>2.3138306248502967</v>
      </c>
      <c r="D32" s="372"/>
      <c r="E32" s="375">
        <f>E31/2+(E44-(E39+E43)/2)*(E39-E43)/E31</f>
        <v>2.3051708209633137</v>
      </c>
      <c r="F32" s="371">
        <f>E31/2+(E44-(E39+E43)/2)*(E39-E43)/E31</f>
        <v>2.3051708209633137</v>
      </c>
      <c r="G32" s="20"/>
      <c r="H32" s="339"/>
      <c r="I32" s="339"/>
      <c r="J32" s="119"/>
      <c r="K32" s="119"/>
      <c r="L32" s="20"/>
      <c r="M32" s="20"/>
      <c r="N32" s="363"/>
      <c r="O32" s="256"/>
      <c r="P32" s="256"/>
      <c r="Q32" s="256"/>
      <c r="R32" s="256"/>
    </row>
    <row r="33" spans="1:18" ht="11.6">
      <c r="A33" s="79" t="s">
        <v>225</v>
      </c>
      <c r="B33" s="374">
        <f>(B31+B38)/2+(B42-B43/2)*B43/(B38-B31)</f>
        <v>6.9833796608258449</v>
      </c>
      <c r="C33" s="371">
        <f>(B31+B38)/2+(B42-B43/2)*B43/(B38-B31)</f>
        <v>6.9833796608258449</v>
      </c>
      <c r="D33" s="372"/>
      <c r="E33" s="375">
        <f>(E31+E38)/2+(E42-E43/2)*E43/(E38-E31)</f>
        <v>6.9719868921950692</v>
      </c>
      <c r="F33" s="371">
        <f>(E31+E38)/2+(E42-E43/2)*E43/(E38-E31)</f>
        <v>6.9719868921950692</v>
      </c>
      <c r="G33" s="20"/>
      <c r="H33" s="339"/>
      <c r="I33" s="339"/>
      <c r="J33" s="119"/>
      <c r="K33" s="119"/>
      <c r="L33" s="20"/>
      <c r="M33" s="20"/>
      <c r="N33" s="363"/>
      <c r="O33" s="256"/>
      <c r="P33" s="256"/>
      <c r="Q33" s="256"/>
      <c r="R33" s="256"/>
    </row>
    <row r="34" spans="1:18" ht="12.45">
      <c r="A34" s="112" t="s">
        <v>226</v>
      </c>
      <c r="B34" s="376">
        <f>(B33+B38)/2+(B41-B42/2)*B42/(B38-B33)</f>
        <v>8.2578386920375966</v>
      </c>
      <c r="C34" s="371">
        <f>(B33+B38)/2+(B41-B42/2)*B42/(B37-B33)</f>
        <v>7.9187637908337862</v>
      </c>
      <c r="D34" s="372"/>
      <c r="E34" s="377">
        <f>(E33+E38)/2+(E41-E42/2)*E42/(E38-E33)</f>
        <v>8.2415243109202656</v>
      </c>
      <c r="F34" s="371">
        <f>(E33+E38)/2+(E41-E42/2)*E42/(E37-E33)</f>
        <v>7.9061014655770272</v>
      </c>
      <c r="G34" s="12"/>
      <c r="H34" s="339"/>
      <c r="I34" s="339"/>
      <c r="J34" s="119"/>
      <c r="K34" s="119"/>
      <c r="L34" s="20"/>
      <c r="M34" s="20"/>
      <c r="N34" s="363"/>
      <c r="O34" s="256"/>
      <c r="P34" s="256"/>
      <c r="Q34" s="256"/>
      <c r="R34" s="256"/>
    </row>
    <row r="35" spans="1:18" ht="11.6">
      <c r="A35" s="378"/>
      <c r="B35" s="379"/>
      <c r="C35" s="380"/>
      <c r="D35" s="381"/>
      <c r="E35" s="379"/>
      <c r="F35" s="380"/>
      <c r="G35" s="20"/>
      <c r="H35" s="362"/>
      <c r="I35" s="362"/>
      <c r="J35" s="119"/>
      <c r="K35" s="119"/>
      <c r="L35" s="20"/>
      <c r="M35" s="20"/>
      <c r="N35" s="363"/>
      <c r="O35" s="256"/>
      <c r="P35" s="256"/>
      <c r="Q35" s="256"/>
      <c r="R35" s="256"/>
    </row>
    <row r="36" spans="1:18" ht="15.45">
      <c r="A36" s="354" t="s">
        <v>227</v>
      </c>
      <c r="B36" s="382">
        <f>B37+B45</f>
        <v>17.908486088372573</v>
      </c>
      <c r="C36" s="383">
        <f>B36*10.7639104</f>
        <v>192.76533965488886</v>
      </c>
      <c r="D36" s="384"/>
      <c r="E36" s="358">
        <f>E37+E45</f>
        <v>18.525103727601032</v>
      </c>
      <c r="F36" s="385">
        <f>E36*10.7639104</f>
        <v>199.40255667460352</v>
      </c>
      <c r="G36" s="20"/>
      <c r="H36" s="339"/>
      <c r="I36" s="339"/>
      <c r="J36" s="119"/>
      <c r="K36" s="386"/>
      <c r="L36" s="20"/>
      <c r="M36" s="20"/>
      <c r="N36" s="20"/>
      <c r="O36" s="256"/>
      <c r="P36" s="256"/>
      <c r="Q36" s="256"/>
      <c r="R36" s="256"/>
    </row>
    <row r="37" spans="1:18" ht="12.45">
      <c r="A37" s="364" t="s">
        <v>228</v>
      </c>
      <c r="B37" s="365">
        <f>(B38/8)*(B39+2*B44+2*B43+1.5*B42+B41+0.5*B40)</f>
        <v>17.456856338619495</v>
      </c>
      <c r="C37" s="387">
        <f>B37*10.7639104</f>
        <v>187.90403749457232</v>
      </c>
      <c r="D37" s="207"/>
      <c r="E37" s="367">
        <f>(E38/8)*(E39+2*E44+2*E43+1.5*E42+E41+0.5*E40)</f>
        <v>17.494953853478691</v>
      </c>
      <c r="F37" s="368">
        <f>E37*10.7639104</f>
        <v>188.31411573097935</v>
      </c>
      <c r="G37" s="20"/>
      <c r="H37" s="339"/>
      <c r="I37" s="339"/>
      <c r="J37" s="119"/>
      <c r="K37" s="119"/>
      <c r="L37" s="20"/>
      <c r="M37" s="20"/>
      <c r="N37" s="20"/>
      <c r="O37" s="256"/>
      <c r="P37" s="256"/>
      <c r="Q37" s="256"/>
      <c r="R37" s="256"/>
    </row>
    <row r="38" spans="1:18" ht="11.6">
      <c r="A38" s="388" t="s">
        <v>229</v>
      </c>
      <c r="B38" s="389">
        <f>B46</f>
        <v>8.7194075625620275</v>
      </c>
      <c r="C38" s="119">
        <f>B38*3.2808399</f>
        <v>28.606980235615246</v>
      </c>
      <c r="D38" s="390"/>
      <c r="E38" s="391">
        <f>E46</f>
        <v>8.7077058823529345</v>
      </c>
      <c r="F38" s="392">
        <f>487/12</f>
        <v>40.583333333333336</v>
      </c>
      <c r="G38" s="310"/>
      <c r="H38" s="310"/>
      <c r="I38" s="310"/>
      <c r="J38" s="150"/>
      <c r="K38" s="119"/>
      <c r="L38" s="20"/>
      <c r="M38" s="20"/>
      <c r="N38" s="20"/>
      <c r="O38" s="256"/>
      <c r="P38" s="256"/>
      <c r="Q38" s="256"/>
      <c r="R38" s="256"/>
    </row>
    <row r="39" spans="1:18" ht="11.6">
      <c r="A39" s="393" t="s">
        <v>230</v>
      </c>
      <c r="B39" s="394">
        <f>B50</f>
        <v>2.5690526966055844</v>
      </c>
      <c r="C39" s="119">
        <f>B39*3.2808399</f>
        <v>8.4286505922261963</v>
      </c>
      <c r="D39" s="390"/>
      <c r="E39" s="342">
        <f>E50</f>
        <v>2.6430774234660586</v>
      </c>
      <c r="F39" s="368"/>
      <c r="G39" s="310">
        <f t="shared" ref="G39:G44" si="0">B39*$G$18/$B$18</f>
        <v>70.804009938418716</v>
      </c>
      <c r="H39" s="362"/>
      <c r="I39" s="362"/>
      <c r="J39" s="150"/>
      <c r="K39" s="119"/>
      <c r="L39" s="20"/>
      <c r="M39" s="20"/>
      <c r="N39" s="20"/>
      <c r="O39" s="256"/>
      <c r="P39" s="256"/>
      <c r="Q39" s="256"/>
      <c r="R39" s="256"/>
    </row>
    <row r="40" spans="1:18" ht="12.45">
      <c r="A40" s="82" t="s">
        <v>216</v>
      </c>
      <c r="B40" s="109">
        <f>B22</f>
        <v>1.0149999999999999</v>
      </c>
      <c r="C40" s="395"/>
      <c r="D40" s="396"/>
      <c r="E40" s="342">
        <f>E22</f>
        <v>1.05</v>
      </c>
      <c r="F40" s="177"/>
      <c r="G40" s="310">
        <f t="shared" si="0"/>
        <v>27.973762539962514</v>
      </c>
      <c r="H40" s="310"/>
      <c r="I40" s="310"/>
      <c r="J40" s="150"/>
      <c r="K40" s="119"/>
      <c r="L40" s="20"/>
      <c r="M40" s="20"/>
      <c r="N40" s="20"/>
      <c r="O40" s="256"/>
      <c r="P40" s="256"/>
      <c r="Q40" s="256"/>
      <c r="R40" s="256"/>
    </row>
    <row r="41" spans="1:18" ht="12.45">
      <c r="A41" s="82" t="s">
        <v>217</v>
      </c>
      <c r="B41" s="394">
        <f>B23</f>
        <v>1.26</v>
      </c>
      <c r="C41" s="395"/>
      <c r="D41" s="396"/>
      <c r="E41" s="342">
        <f>E23</f>
        <v>1.2549999999999999</v>
      </c>
      <c r="F41" s="177"/>
      <c r="G41" s="310">
        <f t="shared" si="0"/>
        <v>34.726050049608645</v>
      </c>
      <c r="H41" s="310">
        <v>68.729299999999995</v>
      </c>
      <c r="I41" s="310">
        <f>H41/2</f>
        <v>34.364649999999997</v>
      </c>
      <c r="J41" s="150">
        <v>-48.984699999999997</v>
      </c>
      <c r="K41" s="119">
        <f>J41+90</f>
        <v>41.015300000000003</v>
      </c>
      <c r="L41" s="20"/>
      <c r="M41" s="20"/>
      <c r="N41" s="20"/>
      <c r="O41" s="256"/>
      <c r="P41" s="256"/>
      <c r="Q41" s="256"/>
      <c r="R41" s="256"/>
    </row>
    <row r="42" spans="1:18" ht="12.45">
      <c r="A42" s="82" t="s">
        <v>218</v>
      </c>
      <c r="B42" s="394">
        <f>B24</f>
        <v>1.68</v>
      </c>
      <c r="C42" s="395"/>
      <c r="D42" s="396"/>
      <c r="E42" s="342">
        <f>E24</f>
        <v>1.68</v>
      </c>
      <c r="F42" s="177"/>
      <c r="G42" s="310">
        <f t="shared" si="0"/>
        <v>46.301400066144858</v>
      </c>
      <c r="H42" s="310">
        <v>127.3074</v>
      </c>
      <c r="I42" s="310">
        <f>H42/2</f>
        <v>63.653700000000001</v>
      </c>
      <c r="J42" s="150">
        <v>-63.264000000000003</v>
      </c>
      <c r="K42" s="119">
        <f>J42+90</f>
        <v>26.735999999999997</v>
      </c>
      <c r="L42" s="20"/>
      <c r="M42" s="20"/>
      <c r="N42" s="20"/>
      <c r="O42" s="256"/>
      <c r="P42" s="256"/>
      <c r="Q42" s="256"/>
      <c r="R42" s="256"/>
    </row>
    <row r="43" spans="1:18" ht="12.45">
      <c r="A43" s="82" t="s">
        <v>219</v>
      </c>
      <c r="B43" s="394">
        <f>B25</f>
        <v>2.14</v>
      </c>
      <c r="C43" s="395"/>
      <c r="D43" s="396"/>
      <c r="E43" s="342">
        <f>E25</f>
        <v>2.125</v>
      </c>
      <c r="F43" s="177"/>
      <c r="G43" s="310">
        <f t="shared" si="0"/>
        <v>58.979164369970235</v>
      </c>
      <c r="H43" s="310"/>
      <c r="I43" s="310"/>
      <c r="J43" s="150"/>
      <c r="K43" s="119"/>
      <c r="L43" s="20"/>
      <c r="M43" s="20"/>
      <c r="N43" s="20"/>
      <c r="O43" s="256"/>
      <c r="P43" s="256"/>
      <c r="Q43" s="256"/>
      <c r="R43" s="256"/>
    </row>
    <row r="44" spans="1:18" ht="12.45">
      <c r="A44" s="114" t="s">
        <v>220</v>
      </c>
      <c r="B44" s="394">
        <f>B26</f>
        <v>2.44</v>
      </c>
      <c r="C44" s="395"/>
      <c r="D44" s="396"/>
      <c r="E44" s="346">
        <f>E26</f>
        <v>2.44</v>
      </c>
      <c r="F44" s="177"/>
      <c r="G44" s="310">
        <f t="shared" si="0"/>
        <v>67.247271524638961</v>
      </c>
      <c r="H44" s="310">
        <v>127.3355</v>
      </c>
      <c r="I44" s="310">
        <f>H44/2</f>
        <v>63.667749999999998</v>
      </c>
      <c r="J44" s="150">
        <v>-83.903700000000001</v>
      </c>
      <c r="K44" s="119">
        <f>J44+90</f>
        <v>6.0962999999999994</v>
      </c>
      <c r="L44" s="20"/>
      <c r="M44" s="20"/>
      <c r="N44" s="20"/>
      <c r="O44" s="256"/>
      <c r="P44" s="256"/>
      <c r="Q44" s="256"/>
      <c r="R44" s="256"/>
    </row>
    <row r="45" spans="1:18" ht="11.6">
      <c r="A45" s="397" t="s">
        <v>231</v>
      </c>
      <c r="B45" s="398">
        <f>(1/2*B50*B47)+(2/3*B48*B49)</f>
        <v>0.45162974975307713</v>
      </c>
      <c r="C45" s="399"/>
      <c r="D45" s="396"/>
      <c r="E45" s="400">
        <f>(1/2*E50*E47)+(2/3*E48*E49)</f>
        <v>1.0301498741223396</v>
      </c>
      <c r="F45" s="399"/>
      <c r="G45" s="25"/>
      <c r="H45" s="310"/>
      <c r="I45" s="310"/>
      <c r="J45" s="150"/>
      <c r="K45" s="119"/>
      <c r="L45" s="20"/>
      <c r="M45" s="20"/>
      <c r="N45" s="20"/>
      <c r="O45" s="256"/>
      <c r="P45" s="256"/>
      <c r="Q45" s="256"/>
      <c r="R45" s="256"/>
    </row>
    <row r="46" spans="1:18" ht="11.6">
      <c r="A46" s="401" t="s">
        <v>232</v>
      </c>
      <c r="B46" s="402">
        <f>B18-B47</f>
        <v>8.7194075625620275</v>
      </c>
      <c r="C46" s="403"/>
      <c r="D46" s="396"/>
      <c r="E46" s="404">
        <f>E18-E47</f>
        <v>8.7077058823529345</v>
      </c>
      <c r="F46" s="177"/>
      <c r="G46" s="25"/>
      <c r="H46" s="310"/>
      <c r="I46" s="310"/>
      <c r="J46" s="150"/>
      <c r="K46" s="119"/>
      <c r="L46" s="20"/>
      <c r="M46" s="20"/>
      <c r="N46" s="165"/>
      <c r="O46" s="256"/>
      <c r="P46" s="256"/>
      <c r="Q46" s="256"/>
      <c r="R46" s="256"/>
    </row>
    <row r="47" spans="1:18" ht="11.6">
      <c r="A47" s="401" t="s">
        <v>233</v>
      </c>
      <c r="B47" s="402">
        <f>(B20^2-B50^2)^0.5</f>
        <v>0.3515924374379728</v>
      </c>
      <c r="C47" s="403"/>
      <c r="D47" s="396"/>
      <c r="E47" s="405">
        <f>(E20^2-E50^2)^0.5</f>
        <v>0.6422941176470659</v>
      </c>
      <c r="F47" s="177"/>
      <c r="G47" s="310">
        <f>B47*$G$18/$B$18</f>
        <v>9.6900131583610634</v>
      </c>
      <c r="H47" s="310"/>
      <c r="I47" s="310"/>
      <c r="J47" s="150"/>
      <c r="K47" s="150"/>
      <c r="L47" s="25"/>
      <c r="M47" s="25"/>
      <c r="N47" s="20"/>
      <c r="O47" s="256"/>
      <c r="P47" s="256"/>
      <c r="Q47" s="256"/>
      <c r="R47" s="256"/>
    </row>
    <row r="48" spans="1:18" ht="14.15">
      <c r="A48" s="406" t="s">
        <v>234</v>
      </c>
      <c r="B48" s="407">
        <f>B20</f>
        <v>2.593</v>
      </c>
      <c r="C48" s="403"/>
      <c r="D48" s="396"/>
      <c r="E48" s="408">
        <f>E20</f>
        <v>2.72</v>
      </c>
      <c r="F48" s="177"/>
      <c r="G48" s="25"/>
      <c r="H48" s="310"/>
      <c r="I48" s="310"/>
      <c r="J48" s="409"/>
      <c r="K48" s="150"/>
      <c r="L48" s="25"/>
      <c r="M48" s="25"/>
      <c r="N48" s="20"/>
      <c r="O48" s="256"/>
      <c r="P48" s="256"/>
      <c r="Q48" s="256"/>
      <c r="R48" s="256"/>
    </row>
    <row r="49" spans="1:18" ht="12.45">
      <c r="A49" s="406" t="s">
        <v>235</v>
      </c>
      <c r="B49" s="410">
        <v>0</v>
      </c>
      <c r="C49" s="371">
        <f>B49*3.2808399</f>
        <v>0</v>
      </c>
      <c r="D49" s="396"/>
      <c r="E49" s="411">
        <v>0.1</v>
      </c>
      <c r="F49" s="371">
        <f>E49*3.2808399</f>
        <v>0.32808399000000005</v>
      </c>
      <c r="G49" s="25"/>
      <c r="H49" s="310"/>
      <c r="I49" s="310"/>
      <c r="J49" s="409"/>
      <c r="K49" s="150"/>
      <c r="L49" s="25"/>
      <c r="M49" s="25"/>
      <c r="N49" s="20"/>
      <c r="O49" s="256"/>
      <c r="P49" s="256"/>
      <c r="Q49" s="256"/>
      <c r="R49" s="256"/>
    </row>
    <row r="50" spans="1:18" ht="11.6">
      <c r="A50" s="412" t="s">
        <v>236</v>
      </c>
      <c r="B50" s="413">
        <f>B51/B18*2</f>
        <v>2.5690526966055844</v>
      </c>
      <c r="C50" s="414">
        <f>B50*3.2808399</f>
        <v>8.4286505922261963</v>
      </c>
      <c r="D50" s="415"/>
      <c r="E50" s="416">
        <f>E51/E18*2</f>
        <v>2.6430774234660586</v>
      </c>
      <c r="F50" s="414">
        <f>E50*3.2808399</f>
        <v>8.671513869696641</v>
      </c>
      <c r="G50" s="310">
        <f>B50*$G$18/$B$18</f>
        <v>70.804009938418716</v>
      </c>
      <c r="H50" s="310"/>
      <c r="I50" s="310"/>
      <c r="J50" s="150"/>
      <c r="K50" s="150"/>
      <c r="L50" s="25"/>
      <c r="M50" s="25"/>
      <c r="N50" s="20"/>
      <c r="O50" s="256"/>
      <c r="P50" s="256"/>
      <c r="Q50" s="256"/>
      <c r="R50" s="256"/>
    </row>
    <row r="51" spans="1:18" ht="11.6">
      <c r="A51" s="417" t="s">
        <v>237</v>
      </c>
      <c r="B51" s="418">
        <f>B53</f>
        <v>11.651938505454627</v>
      </c>
      <c r="C51" s="419">
        <f>B51*10.7639104</f>
        <v>125.42042205902352</v>
      </c>
      <c r="D51" s="415"/>
      <c r="E51" s="420">
        <f>E53</f>
        <v>12.356386954703824</v>
      </c>
      <c r="F51" s="177"/>
      <c r="G51" s="25"/>
      <c r="H51" s="310"/>
      <c r="I51" s="310"/>
      <c r="J51" s="150"/>
      <c r="K51" s="150"/>
      <c r="L51" s="25"/>
      <c r="M51" s="25"/>
      <c r="N51" s="20"/>
      <c r="O51" s="256"/>
      <c r="P51" s="256"/>
      <c r="Q51" s="256"/>
      <c r="R51" s="256"/>
    </row>
    <row r="52" spans="1:18" ht="11.6">
      <c r="A52" s="79" t="s">
        <v>238</v>
      </c>
      <c r="B52" s="421">
        <f>(B18+B19+B20)/2</f>
        <v>10.377000000000001</v>
      </c>
      <c r="C52" s="403"/>
      <c r="D52" s="415"/>
      <c r="E52" s="422">
        <f>(E18+E19+E20)/2</f>
        <v>10.584999999999999</v>
      </c>
      <c r="F52" s="177"/>
      <c r="G52" s="25"/>
      <c r="H52" s="310"/>
      <c r="I52" s="310"/>
      <c r="J52" s="150"/>
      <c r="K52" s="150"/>
      <c r="L52" s="25"/>
      <c r="M52" s="25"/>
      <c r="N52" s="20"/>
      <c r="O52" s="256"/>
      <c r="P52" s="256"/>
      <c r="Q52" s="256"/>
      <c r="R52" s="256"/>
    </row>
    <row r="53" spans="1:18" ht="11.6">
      <c r="A53" s="79" t="s">
        <v>239</v>
      </c>
      <c r="B53" s="374">
        <f>(B52*(B52-B18)*(B52-B19)*(B52-B20))^0.5</f>
        <v>11.651938505454627</v>
      </c>
      <c r="C53" s="403"/>
      <c r="D53" s="415"/>
      <c r="E53" s="375">
        <f>(E52*(E52-E18)*(E52-E19)*(E52-E20))^0.5</f>
        <v>12.356386954703824</v>
      </c>
      <c r="F53" s="177"/>
      <c r="G53" s="25"/>
      <c r="H53" s="310"/>
      <c r="I53" s="310"/>
      <c r="J53" s="150"/>
      <c r="K53" s="150"/>
      <c r="L53" s="25"/>
      <c r="M53" s="25"/>
      <c r="N53" s="20"/>
      <c r="O53" s="256"/>
      <c r="P53" s="256"/>
      <c r="Q53" s="256"/>
      <c r="R53" s="256"/>
    </row>
    <row r="54" spans="1:18" ht="11.6">
      <c r="A54" s="423" t="s">
        <v>240</v>
      </c>
      <c r="B54" s="424">
        <f>(B46*B50/((B46^2+B50^2)^0.5))</f>
        <v>2.4643143576901059</v>
      </c>
      <c r="C54" s="414">
        <f>B54*3.2808399</f>
        <v>8.0850208708525724</v>
      </c>
      <c r="D54" s="207"/>
      <c r="E54" s="425">
        <f>(E46*E50/((E46^2+E50^2)^0.5))</f>
        <v>2.5291363547065555</v>
      </c>
      <c r="F54" s="414">
        <f>E54*3.2808399</f>
        <v>8.2976914650618205</v>
      </c>
      <c r="G54" s="310">
        <f>B54*$G$18/$B$18</f>
        <v>67.91738390723475</v>
      </c>
      <c r="H54" s="310"/>
      <c r="I54" s="310"/>
      <c r="J54" s="150"/>
      <c r="K54" s="150"/>
      <c r="L54" s="25"/>
      <c r="M54" s="25"/>
      <c r="N54" s="20"/>
      <c r="O54" s="256"/>
      <c r="P54" s="256"/>
      <c r="Q54" s="256"/>
      <c r="R54" s="256"/>
    </row>
    <row r="55" spans="1:18" ht="12.45">
      <c r="A55" s="79" t="s">
        <v>241</v>
      </c>
      <c r="B55" s="426">
        <f>B45</f>
        <v>0.45162974975307713</v>
      </c>
      <c r="C55" s="427">
        <f>B55*10.7639104</f>
        <v>4.8613021603165443</v>
      </c>
      <c r="D55" s="415"/>
      <c r="E55" s="428">
        <f>E45</f>
        <v>1.0301498741223396</v>
      </c>
      <c r="F55" s="177"/>
      <c r="G55" s="25"/>
      <c r="H55" s="310"/>
      <c r="I55" s="310"/>
      <c r="J55" s="150"/>
      <c r="K55" s="150"/>
      <c r="L55" s="25"/>
      <c r="M55" s="25"/>
      <c r="N55" s="20"/>
      <c r="O55" s="256"/>
      <c r="P55" s="256"/>
      <c r="Q55" s="256"/>
      <c r="R55" s="256"/>
    </row>
    <row r="56" spans="1:18" ht="12.45">
      <c r="A56" s="429" t="s">
        <v>242</v>
      </c>
      <c r="B56" s="430">
        <f>B55*10.7639104</f>
        <v>4.8613021603165443</v>
      </c>
      <c r="C56" s="395"/>
      <c r="D56" s="396"/>
      <c r="E56" s="431">
        <f>E55*10.7639104</f>
        <v>11.088440943624143</v>
      </c>
      <c r="F56" s="177"/>
      <c r="G56" s="25"/>
      <c r="H56" s="310"/>
      <c r="I56" s="310"/>
      <c r="J56" s="150"/>
      <c r="K56" s="150"/>
      <c r="L56" s="25"/>
      <c r="M56" s="25"/>
      <c r="N56" s="20"/>
      <c r="O56" s="256"/>
      <c r="P56" s="256"/>
      <c r="Q56" s="256"/>
      <c r="R56" s="256"/>
    </row>
    <row r="57" spans="1:18" ht="11.6">
      <c r="A57" s="135" t="s">
        <v>243</v>
      </c>
      <c r="B57" s="432">
        <v>8.891</v>
      </c>
      <c r="C57" s="433">
        <f>B57*3.2808399</f>
        <v>29.169947550900002</v>
      </c>
      <c r="D57" s="396"/>
      <c r="E57" s="434"/>
      <c r="F57" s="177"/>
      <c r="G57" s="360">
        <v>254.40029999999999</v>
      </c>
      <c r="H57" s="310"/>
      <c r="I57" s="310"/>
      <c r="J57" s="150"/>
      <c r="K57" s="150"/>
      <c r="L57" s="25"/>
      <c r="M57" s="25"/>
      <c r="N57" s="20"/>
      <c r="O57" s="256"/>
      <c r="P57" s="256"/>
      <c r="Q57" s="256"/>
      <c r="R57" s="256"/>
    </row>
    <row r="58" spans="1:18" ht="12.45" hidden="1">
      <c r="A58" s="12"/>
      <c r="B58" s="20"/>
      <c r="C58" s="435"/>
      <c r="D58" s="20"/>
      <c r="E58" s="20"/>
      <c r="F58" s="436"/>
      <c r="G58" s="20"/>
      <c r="H58" s="339"/>
      <c r="I58" s="437"/>
      <c r="J58" s="438"/>
      <c r="K58" s="89"/>
      <c r="L58" s="439"/>
      <c r="M58" s="20"/>
      <c r="N58" s="20"/>
      <c r="O58" s="256"/>
      <c r="P58" s="256"/>
      <c r="Q58" s="256"/>
      <c r="R58" s="256"/>
    </row>
    <row r="59" spans="1:18" s="264" customFormat="1" ht="5.15">
      <c r="A59" s="5"/>
      <c r="B59" s="5"/>
      <c r="C59" s="440"/>
      <c r="D59" s="5"/>
      <c r="E59" s="5"/>
      <c r="F59" s="5"/>
      <c r="G59" s="5"/>
      <c r="H59" s="441"/>
      <c r="I59" s="442"/>
      <c r="J59" s="443"/>
      <c r="K59" s="444"/>
      <c r="L59" s="445"/>
      <c r="M59" s="5"/>
      <c r="N59" s="5"/>
      <c r="O59" s="263"/>
      <c r="P59" s="263"/>
      <c r="Q59" s="263"/>
      <c r="R59" s="263"/>
    </row>
    <row r="60" spans="1:18" ht="11.6">
      <c r="A60" s="886" t="s">
        <v>244</v>
      </c>
      <c r="B60" s="887"/>
      <c r="C60" s="25"/>
      <c r="D60" s="25"/>
      <c r="E60" s="25"/>
      <c r="F60" s="25"/>
      <c r="G60" s="25"/>
      <c r="H60" s="310"/>
      <c r="I60" s="446"/>
      <c r="J60" s="150"/>
      <c r="K60" s="447"/>
      <c r="L60" s="25"/>
      <c r="M60" s="448"/>
      <c r="N60" s="20"/>
      <c r="O60" s="256"/>
      <c r="P60" s="256"/>
      <c r="Q60" s="256"/>
      <c r="R60" s="256"/>
    </row>
    <row r="61" spans="1:18" ht="11.6">
      <c r="A61" s="449" t="s">
        <v>245</v>
      </c>
      <c r="B61" s="23"/>
      <c r="C61" s="25"/>
      <c r="D61" s="25"/>
      <c r="E61" s="25"/>
      <c r="F61" s="25"/>
      <c r="G61" s="25"/>
      <c r="H61" s="310"/>
      <c r="I61" s="450"/>
      <c r="J61" s="150"/>
      <c r="K61" s="150"/>
      <c r="L61" s="25"/>
      <c r="M61" s="25"/>
      <c r="N61" s="20"/>
      <c r="O61" s="256"/>
      <c r="P61" s="256"/>
      <c r="Q61" s="256"/>
      <c r="R61" s="256"/>
    </row>
    <row r="62" spans="1:18" ht="10.75">
      <c r="A62" s="451" t="s">
        <v>246</v>
      </c>
      <c r="B62" s="286"/>
      <c r="C62" s="20"/>
      <c r="D62" s="20"/>
      <c r="E62" s="20"/>
      <c r="F62" s="20"/>
      <c r="G62" s="20"/>
      <c r="H62" s="339"/>
      <c r="I62" s="452"/>
      <c r="J62" s="119"/>
      <c r="K62" s="88"/>
      <c r="L62" s="20"/>
      <c r="M62" s="453"/>
      <c r="N62" s="20"/>
      <c r="O62" s="256"/>
      <c r="P62" s="256"/>
      <c r="Q62" s="256"/>
      <c r="R62" s="256"/>
    </row>
    <row r="63" spans="1:18" ht="10.75">
      <c r="A63" s="451" t="s">
        <v>247</v>
      </c>
      <c r="B63" s="286"/>
      <c r="C63" s="20"/>
      <c r="D63" s="20"/>
      <c r="E63" s="20"/>
      <c r="F63" s="20"/>
      <c r="G63" s="20"/>
      <c r="H63" s="339"/>
      <c r="I63" s="452"/>
      <c r="J63" s="119"/>
      <c r="K63" s="119"/>
      <c r="L63" s="20"/>
      <c r="M63" s="453"/>
      <c r="N63" s="20"/>
      <c r="O63" s="256"/>
      <c r="P63" s="256"/>
      <c r="Q63" s="256"/>
      <c r="R63" s="256"/>
    </row>
    <row r="64" spans="1:18" s="264" customFormat="1" ht="5.15">
      <c r="A64" s="454"/>
      <c r="B64" s="5"/>
      <c r="C64" s="5"/>
      <c r="D64" s="5"/>
      <c r="E64" s="65"/>
      <c r="F64" s="65"/>
      <c r="G64" s="65"/>
      <c r="H64" s="455"/>
      <c r="I64" s="456"/>
      <c r="J64" s="142"/>
      <c r="K64" s="142"/>
      <c r="L64" s="5"/>
      <c r="M64" s="457"/>
      <c r="N64" s="5"/>
      <c r="O64" s="263"/>
      <c r="P64" s="263"/>
      <c r="Q64" s="263"/>
      <c r="R64" s="263"/>
    </row>
    <row r="65" spans="1:18" ht="11.6">
      <c r="A65" s="458" t="s">
        <v>248</v>
      </c>
      <c r="B65" s="25"/>
      <c r="C65" s="25"/>
      <c r="D65" s="25"/>
      <c r="E65" s="25"/>
      <c r="F65" s="25"/>
      <c r="G65" s="20"/>
      <c r="H65" s="339"/>
      <c r="I65" s="452"/>
      <c r="J65" s="119"/>
      <c r="K65" s="119"/>
      <c r="L65" s="20"/>
      <c r="M65" s="20"/>
      <c r="N65" s="20"/>
      <c r="O65" s="256"/>
      <c r="P65" s="256"/>
      <c r="Q65" s="256"/>
      <c r="R65" s="256"/>
    </row>
    <row r="66" spans="1:18" ht="11.6">
      <c r="A66" s="459" t="s">
        <v>249</v>
      </c>
      <c r="B66" s="459"/>
      <c r="C66" s="25"/>
      <c r="D66" s="25"/>
      <c r="E66" s="25"/>
      <c r="F66" s="25"/>
      <c r="G66" s="25"/>
      <c r="H66" s="310"/>
      <c r="I66" s="450"/>
      <c r="J66" s="150"/>
      <c r="K66" s="150"/>
      <c r="L66" s="25"/>
      <c r="M66" s="25"/>
      <c r="N66" s="20"/>
      <c r="O66" s="256"/>
      <c r="P66" s="256"/>
      <c r="Q66" s="256"/>
      <c r="R66" s="256"/>
    </row>
    <row r="67" spans="1:18" ht="11.6">
      <c r="A67" s="460" t="s">
        <v>250</v>
      </c>
      <c r="B67" s="461"/>
      <c r="C67" s="25"/>
      <c r="D67" s="25"/>
      <c r="E67" s="25"/>
      <c r="F67" s="25"/>
      <c r="G67" s="25"/>
      <c r="H67" s="310"/>
      <c r="I67" s="450"/>
      <c r="J67" s="150"/>
      <c r="K67" s="150"/>
      <c r="L67" s="25"/>
      <c r="M67" s="25"/>
      <c r="N67" s="20"/>
      <c r="O67" s="256"/>
      <c r="P67" s="256"/>
      <c r="Q67" s="256"/>
      <c r="R67" s="256"/>
    </row>
    <row r="68" spans="1:18" ht="11.6">
      <c r="A68" s="25" t="s">
        <v>251</v>
      </c>
      <c r="B68" s="461"/>
      <c r="C68" s="25"/>
      <c r="D68" s="25"/>
      <c r="E68" s="25"/>
      <c r="F68" s="25"/>
      <c r="G68" s="25"/>
      <c r="H68" s="310"/>
      <c r="I68" s="450"/>
      <c r="J68" s="150"/>
      <c r="K68" s="150"/>
      <c r="L68" s="25"/>
      <c r="M68" s="25"/>
      <c r="N68" s="20"/>
      <c r="O68" s="256"/>
      <c r="P68" s="256"/>
      <c r="Q68" s="256"/>
      <c r="R68" s="256"/>
    </row>
    <row r="69" spans="1:18" ht="11.6">
      <c r="A69" s="25" t="s">
        <v>252</v>
      </c>
      <c r="B69" s="25"/>
      <c r="C69" s="25"/>
      <c r="D69" s="25"/>
      <c r="E69" s="25"/>
      <c r="F69" s="25"/>
      <c r="G69" s="25"/>
      <c r="H69" s="310"/>
      <c r="I69" s="450"/>
      <c r="J69" s="150"/>
      <c r="K69" s="150"/>
      <c r="L69" s="25"/>
      <c r="M69" s="25"/>
      <c r="N69" s="20"/>
      <c r="O69" s="256"/>
      <c r="P69" s="256"/>
      <c r="Q69" s="256"/>
      <c r="R69" s="256"/>
    </row>
    <row r="70" spans="1:18" ht="13.3">
      <c r="A70" s="25" t="s">
        <v>253</v>
      </c>
      <c r="B70" s="462">
        <f>(B18^2+B20^2)^0.5</f>
        <v>9.4343356946846022</v>
      </c>
      <c r="C70" s="462">
        <f>(C18^2+C20^2)^0.5</f>
        <v>30.952544977115462</v>
      </c>
      <c r="D70" s="463" t="s">
        <v>254</v>
      </c>
      <c r="E70" s="463"/>
      <c r="F70" s="463"/>
      <c r="G70" s="25"/>
      <c r="H70" s="310"/>
      <c r="I70" s="450"/>
      <c r="J70" s="150"/>
      <c r="K70" s="150"/>
      <c r="L70" s="25"/>
      <c r="M70" s="25"/>
      <c r="N70" s="20"/>
      <c r="O70" s="256"/>
      <c r="P70" s="256"/>
      <c r="Q70" s="256"/>
      <c r="R70" s="256"/>
    </row>
    <row r="71" spans="1:18" ht="11.6">
      <c r="A71" s="257"/>
      <c r="B71" s="257"/>
      <c r="C71" s="257"/>
      <c r="D71" s="257"/>
      <c r="E71" s="257"/>
      <c r="F71" s="257"/>
      <c r="G71" s="25"/>
      <c r="H71" s="310"/>
      <c r="I71" s="450"/>
      <c r="J71" s="150"/>
      <c r="K71" s="150"/>
      <c r="L71" s="25"/>
      <c r="M71" s="464"/>
      <c r="N71" s="20"/>
      <c r="O71" s="256"/>
      <c r="P71" s="256"/>
      <c r="Q71" s="256"/>
      <c r="R71" s="256"/>
    </row>
    <row r="72" spans="1:18">
      <c r="O72" s="466"/>
    </row>
  </sheetData>
  <mergeCells count="2">
    <mergeCell ref="J26:L26"/>
    <mergeCell ref="A60:B60"/>
  </mergeCells>
  <printOptions horizontalCentered="1"/>
  <pageMargins left="0.47244094488188981" right="0.47244094488188981" top="0.51181102362204722" bottom="0.47244094488188981" header="0.31496062992125984" footer="0.31496062992125984"/>
  <pageSetup scale="77" orientation="portrait" r:id="rId1"/>
  <headerFooter>
    <oddFooter>&amp;L&amp;"Arial,Regular"&amp;8workbook:&amp;9 &amp;F&amp;8
worksheet: &amp;9&amp;A&amp;R&amp;"Arial,Regular"&amp;9slackwater_sf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7"/>
  <sheetViews>
    <sheetView workbookViewId="0">
      <selection activeCell="B15" sqref="B15:D18"/>
    </sheetView>
  </sheetViews>
  <sheetFormatPr defaultColWidth="9.15234375" defaultRowHeight="14.6"/>
  <cols>
    <col min="1" max="1" width="31.84375" style="472" customWidth="1"/>
    <col min="2" max="3" width="9.15234375" style="472"/>
    <col min="4" max="4" width="4.53515625" style="472" bestFit="1" customWidth="1"/>
    <col min="5" max="5" width="11.84375" style="472" bestFit="1" customWidth="1"/>
    <col min="6" max="7" width="8.53515625" style="533" hidden="1" customWidth="1"/>
    <col min="8" max="9" width="9.15234375" style="533" hidden="1" customWidth="1"/>
    <col min="10" max="10" width="8.53515625" style="533" hidden="1" customWidth="1"/>
    <col min="11" max="11" width="16.53515625" style="472" hidden="1" customWidth="1"/>
    <col min="12" max="12" width="0" style="472" hidden="1" customWidth="1"/>
    <col min="13" max="16384" width="9.15234375" style="472"/>
  </cols>
  <sheetData>
    <row r="1" spans="1:20" s="257" customFormat="1" ht="17.600000000000001">
      <c r="A1" s="251" t="s">
        <v>195</v>
      </c>
      <c r="B1" s="252" t="s">
        <v>196</v>
      </c>
      <c r="C1" s="253" t="s">
        <v>197</v>
      </c>
      <c r="D1" s="171"/>
      <c r="E1" s="252"/>
      <c r="F1" s="253"/>
      <c r="G1" s="252" t="s">
        <v>196</v>
      </c>
      <c r="H1" s="253" t="s">
        <v>197</v>
      </c>
      <c r="I1" s="171"/>
      <c r="J1" s="254"/>
      <c r="K1" s="254"/>
      <c r="L1" s="255"/>
      <c r="M1" s="255"/>
      <c r="N1" s="171"/>
      <c r="O1" s="20"/>
      <c r="P1" s="20"/>
      <c r="Q1" s="256"/>
      <c r="R1" s="256"/>
      <c r="S1" s="256"/>
      <c r="T1" s="256"/>
    </row>
    <row r="2" spans="1:20" ht="17.600000000000001">
      <c r="A2" s="467" t="s">
        <v>255</v>
      </c>
      <c r="B2" s="468">
        <f>B13</f>
        <v>7.7306493116891035</v>
      </c>
      <c r="C2" s="469">
        <f>C13</f>
        <v>83.212016906984715</v>
      </c>
      <c r="D2" s="185"/>
      <c r="E2" s="185"/>
      <c r="F2" s="470"/>
      <c r="G2" s="470"/>
      <c r="H2" s="470"/>
      <c r="I2" s="470"/>
      <c r="J2" s="470"/>
      <c r="K2" s="185"/>
      <c r="L2" s="185"/>
      <c r="M2" s="185"/>
      <c r="N2" s="471"/>
      <c r="O2" s="185"/>
      <c r="P2" s="185"/>
    </row>
    <row r="3" spans="1:20" ht="19.5" customHeight="1">
      <c r="A3" s="473"/>
      <c r="B3" s="473"/>
      <c r="C3" s="474"/>
      <c r="D3" s="474"/>
      <c r="E3" s="185"/>
      <c r="F3" s="470"/>
      <c r="G3" s="470"/>
      <c r="H3" s="470"/>
      <c r="I3" s="470"/>
      <c r="J3" s="470"/>
      <c r="K3" s="185"/>
      <c r="L3" s="185"/>
      <c r="M3" s="185"/>
      <c r="N3" s="471"/>
      <c r="O3" s="185"/>
      <c r="P3" s="185"/>
    </row>
    <row r="4" spans="1:20">
      <c r="A4" s="40" t="s">
        <v>256</v>
      </c>
      <c r="B4" s="473"/>
      <c r="C4" s="474"/>
      <c r="D4" s="474"/>
      <c r="E4" s="185"/>
      <c r="F4" s="470"/>
      <c r="G4" s="470"/>
      <c r="H4" s="470"/>
      <c r="I4" s="470"/>
      <c r="J4" s="470"/>
      <c r="K4" s="185"/>
      <c r="L4" s="185"/>
      <c r="M4" s="185"/>
      <c r="N4" s="471"/>
      <c r="O4" s="185"/>
      <c r="P4" s="185"/>
    </row>
    <row r="5" spans="1:20">
      <c r="A5" s="40" t="s">
        <v>257</v>
      </c>
      <c r="B5" s="473"/>
      <c r="C5" s="474"/>
      <c r="D5" s="474"/>
      <c r="E5" s="185"/>
      <c r="F5" s="470"/>
      <c r="G5" s="470"/>
      <c r="H5" s="470"/>
      <c r="I5" s="470"/>
      <c r="J5" s="470"/>
      <c r="K5" s="185"/>
      <c r="L5" s="185"/>
      <c r="M5" s="185"/>
      <c r="N5" s="471"/>
      <c r="O5" s="185"/>
      <c r="P5" s="185"/>
    </row>
    <row r="6" spans="1:20">
      <c r="B6" s="473"/>
      <c r="C6" s="474"/>
      <c r="D6" s="474"/>
      <c r="E6" s="185"/>
      <c r="F6" s="470"/>
      <c r="G6" s="470"/>
      <c r="H6" s="470"/>
      <c r="I6" s="470"/>
      <c r="J6" s="470"/>
      <c r="K6" s="185"/>
      <c r="L6" s="185"/>
      <c r="M6" s="185"/>
      <c r="N6" s="471"/>
      <c r="O6" s="185"/>
      <c r="P6" s="185"/>
    </row>
    <row r="7" spans="1:20">
      <c r="A7" s="888" t="s">
        <v>258</v>
      </c>
      <c r="B7" s="888"/>
      <c r="C7" s="889"/>
      <c r="D7" s="889"/>
      <c r="E7" s="185"/>
      <c r="F7" s="470"/>
      <c r="G7" s="470"/>
      <c r="H7" s="470"/>
      <c r="I7" s="470"/>
      <c r="J7" s="470"/>
      <c r="K7" s="185"/>
      <c r="L7" s="185"/>
      <c r="M7" s="185"/>
      <c r="N7" s="471"/>
      <c r="O7" s="185"/>
      <c r="P7" s="185"/>
    </row>
    <row r="8" spans="1:20">
      <c r="A8" s="888" t="s">
        <v>259</v>
      </c>
      <c r="B8" s="888"/>
      <c r="C8" s="889"/>
      <c r="D8" s="889"/>
      <c r="E8" s="185"/>
      <c r="F8" s="470"/>
      <c r="G8" s="470"/>
      <c r="H8" s="470"/>
      <c r="I8" s="470"/>
      <c r="J8" s="470"/>
      <c r="K8" s="185"/>
      <c r="L8" s="185"/>
      <c r="M8" s="185"/>
      <c r="N8" s="471"/>
      <c r="O8" s="185"/>
      <c r="P8" s="185"/>
    </row>
    <row r="9" spans="1:20">
      <c r="A9" s="888" t="s">
        <v>260</v>
      </c>
      <c r="B9" s="888"/>
      <c r="C9" s="889"/>
      <c r="D9" s="889"/>
      <c r="E9" s="185"/>
      <c r="F9" s="470"/>
      <c r="G9" s="470"/>
      <c r="H9" s="470"/>
      <c r="I9" s="470"/>
      <c r="J9" s="470"/>
      <c r="K9" s="185"/>
      <c r="L9" s="185"/>
      <c r="M9" s="185"/>
      <c r="N9" s="471"/>
      <c r="O9" s="185"/>
      <c r="P9" s="185"/>
    </row>
    <row r="10" spans="1:20">
      <c r="A10" s="475" t="s">
        <v>261</v>
      </c>
      <c r="B10" s="476" t="s">
        <v>18</v>
      </c>
      <c r="C10" s="477"/>
      <c r="D10" s="478"/>
      <c r="E10" s="185"/>
      <c r="F10" s="470"/>
      <c r="G10" s="470"/>
      <c r="H10" s="470"/>
      <c r="I10" s="470"/>
      <c r="J10" s="470"/>
      <c r="K10" s="185"/>
      <c r="L10" s="185"/>
      <c r="M10" s="185"/>
      <c r="N10" s="471"/>
      <c r="O10" s="185"/>
      <c r="P10" s="185"/>
    </row>
    <row r="11" spans="1:20">
      <c r="A11" s="479"/>
      <c r="B11" s="211"/>
      <c r="C11" s="477"/>
      <c r="D11" s="478"/>
      <c r="E11" s="185"/>
      <c r="F11" s="470"/>
      <c r="G11" s="470"/>
      <c r="H11" s="470"/>
      <c r="I11" s="470"/>
      <c r="J11" s="470"/>
      <c r="K11" s="185"/>
      <c r="L11" s="185"/>
      <c r="M11" s="185"/>
      <c r="N11" s="471"/>
      <c r="O11" s="185"/>
      <c r="P11" s="185"/>
    </row>
    <row r="12" spans="1:20">
      <c r="A12" s="480" t="s">
        <v>262</v>
      </c>
      <c r="B12" s="481" t="s">
        <v>27</v>
      </c>
      <c r="C12" s="70" t="s">
        <v>263</v>
      </c>
      <c r="D12" s="70"/>
      <c r="E12" s="185"/>
      <c r="F12" s="470"/>
      <c r="G12" s="470"/>
      <c r="H12" s="470"/>
      <c r="I12" s="470"/>
      <c r="J12" s="470"/>
      <c r="K12" s="185"/>
      <c r="L12" s="185"/>
      <c r="M12" s="185"/>
      <c r="N12" s="471"/>
      <c r="O12" s="185"/>
      <c r="P12" s="185"/>
    </row>
    <row r="13" spans="1:20" ht="15.45">
      <c r="A13" s="482" t="s">
        <v>264</v>
      </c>
      <c r="B13" s="483">
        <f>0.1125*B14*(1.445*B15+2*B20+2*B19+1.5*B18+B17+0.5*B16)+((2/3)*B21*B22)</f>
        <v>7.7306493116891035</v>
      </c>
      <c r="C13" s="484">
        <f>0.1125*C14*(1.445*C15+2*C20+2*C19+1.5*C18+C17+0.5*C16)+((2/3)*C21*C22)</f>
        <v>83.212016906984715</v>
      </c>
      <c r="D13" s="478"/>
      <c r="E13" s="185"/>
      <c r="F13" s="470"/>
      <c r="G13" s="470"/>
      <c r="H13" s="470"/>
      <c r="I13" s="470"/>
      <c r="J13" s="470"/>
      <c r="K13" s="185"/>
      <c r="L13" s="185"/>
      <c r="M13" s="185"/>
      <c r="N13" s="471"/>
      <c r="O13" s="185"/>
      <c r="P13" s="185"/>
    </row>
    <row r="14" spans="1:20">
      <c r="A14" s="82" t="s">
        <v>265</v>
      </c>
      <c r="B14" s="485">
        <v>8.1189999999999998</v>
      </c>
      <c r="C14" s="486">
        <f t="shared" ref="C14:C23" si="0">B14*3.2808399</f>
        <v>26.637139148100001</v>
      </c>
      <c r="D14" s="478"/>
      <c r="E14" s="185"/>
      <c r="F14" s="487">
        <v>260</v>
      </c>
      <c r="G14" s="470"/>
      <c r="H14" s="470"/>
      <c r="I14" s="487">
        <v>-109.3584</v>
      </c>
      <c r="J14" s="487">
        <f>I14+270</f>
        <v>160.64159999999998</v>
      </c>
      <c r="K14" s="185"/>
      <c r="L14" s="185"/>
      <c r="M14" s="185"/>
      <c r="N14" s="471"/>
      <c r="O14" s="185"/>
      <c r="P14" s="185"/>
    </row>
    <row r="15" spans="1:20">
      <c r="A15" s="82" t="s">
        <v>266</v>
      </c>
      <c r="B15" s="485">
        <v>1.9339999999999999</v>
      </c>
      <c r="C15" s="488">
        <f t="shared" si="0"/>
        <v>6.3451443666000005</v>
      </c>
      <c r="D15" s="478"/>
      <c r="E15" s="185"/>
      <c r="F15" s="487">
        <f t="shared" ref="F15:F23" si="1">$F$14*B15/$B$14</f>
        <v>61.933735681734206</v>
      </c>
      <c r="G15" s="470"/>
      <c r="H15" s="470"/>
      <c r="I15" s="470"/>
      <c r="J15" s="470"/>
      <c r="K15" s="185"/>
      <c r="L15" s="185"/>
      <c r="M15" s="185"/>
      <c r="N15" s="471"/>
      <c r="O15" s="185"/>
      <c r="P15" s="185"/>
    </row>
    <row r="16" spans="1:20">
      <c r="A16" s="82" t="s">
        <v>267</v>
      </c>
      <c r="B16" s="340">
        <v>2.5000000000000001E-2</v>
      </c>
      <c r="C16" s="488">
        <f t="shared" si="0"/>
        <v>8.2020997500000012E-2</v>
      </c>
      <c r="D16" s="478"/>
      <c r="E16" s="185"/>
      <c r="F16" s="487">
        <f t="shared" si="1"/>
        <v>0.80059120581352383</v>
      </c>
      <c r="G16" s="470"/>
      <c r="H16" s="470"/>
      <c r="I16" s="470"/>
      <c r="J16" s="470"/>
      <c r="K16" s="185"/>
      <c r="L16" s="185"/>
      <c r="M16" s="185"/>
      <c r="N16" s="471"/>
      <c r="O16" s="185"/>
      <c r="P16" s="185"/>
    </row>
    <row r="17" spans="1:16">
      <c r="A17" s="96" t="s">
        <v>42</v>
      </c>
      <c r="B17" s="489">
        <f>(B18+B16)/2</f>
        <v>0.23975000000000002</v>
      </c>
      <c r="C17" s="490">
        <f t="shared" si="0"/>
        <v>0.78658136602500006</v>
      </c>
      <c r="D17" s="478"/>
      <c r="E17" s="491" t="s">
        <v>268</v>
      </c>
      <c r="F17" s="487">
        <f t="shared" si="1"/>
        <v>7.6776696637516944</v>
      </c>
      <c r="G17" s="470"/>
      <c r="H17" s="470"/>
      <c r="I17" s="470"/>
      <c r="J17" s="470"/>
      <c r="K17" s="185"/>
      <c r="L17" s="185"/>
      <c r="M17" s="185"/>
      <c r="N17" s="471"/>
      <c r="O17" s="185"/>
      <c r="P17" s="185"/>
    </row>
    <row r="18" spans="1:16">
      <c r="A18" s="96" t="s">
        <v>45</v>
      </c>
      <c r="B18" s="489">
        <f>(B19+B16)/2</f>
        <v>0.45450000000000002</v>
      </c>
      <c r="C18" s="490">
        <f t="shared" si="0"/>
        <v>1.4911417345500002</v>
      </c>
      <c r="D18" s="478"/>
      <c r="E18" s="491" t="s">
        <v>269</v>
      </c>
      <c r="F18" s="487">
        <f t="shared" si="1"/>
        <v>14.554748121689864</v>
      </c>
      <c r="G18" s="470"/>
      <c r="H18" s="470"/>
      <c r="I18" s="470"/>
      <c r="J18" s="470"/>
      <c r="K18" s="185"/>
      <c r="L18" s="185"/>
      <c r="M18" s="185"/>
      <c r="N18" s="471"/>
      <c r="O18" s="185"/>
      <c r="P18" s="185"/>
    </row>
    <row r="19" spans="1:16">
      <c r="A19" s="96" t="s">
        <v>270</v>
      </c>
      <c r="B19" s="340">
        <v>0.88400000000000001</v>
      </c>
      <c r="C19" s="490">
        <f t="shared" si="0"/>
        <v>2.9002624716000001</v>
      </c>
      <c r="D19" s="478"/>
      <c r="E19" s="492"/>
      <c r="F19" s="487">
        <f t="shared" si="1"/>
        <v>28.308905037566205</v>
      </c>
      <c r="G19" s="470"/>
      <c r="H19" s="470"/>
      <c r="I19" s="470"/>
      <c r="J19" s="470"/>
      <c r="K19" s="185"/>
      <c r="L19" s="185"/>
      <c r="M19" s="185"/>
      <c r="N19" s="471"/>
      <c r="O19" s="185"/>
      <c r="P19" s="185"/>
    </row>
    <row r="20" spans="1:16">
      <c r="A20" s="96" t="s">
        <v>51</v>
      </c>
      <c r="B20" s="489">
        <f>(B15+B19)/2</f>
        <v>1.409</v>
      </c>
      <c r="C20" s="490">
        <f t="shared" si="0"/>
        <v>4.6227034191000005</v>
      </c>
      <c r="D20" s="478"/>
      <c r="E20" s="491" t="s">
        <v>271</v>
      </c>
      <c r="F20" s="487">
        <f t="shared" si="1"/>
        <v>45.121320359650205</v>
      </c>
      <c r="G20" s="470"/>
      <c r="H20" s="470"/>
      <c r="I20" s="470"/>
      <c r="J20" s="470"/>
      <c r="K20" s="493"/>
      <c r="L20" s="185"/>
      <c r="M20" s="185"/>
      <c r="N20" s="471"/>
      <c r="O20" s="185"/>
      <c r="P20" s="185"/>
    </row>
    <row r="21" spans="1:16">
      <c r="A21" s="92" t="s">
        <v>272</v>
      </c>
      <c r="B21" s="494">
        <v>2.11</v>
      </c>
      <c r="C21" s="495">
        <f t="shared" si="0"/>
        <v>6.9225721890000003</v>
      </c>
      <c r="D21" s="478"/>
      <c r="E21" s="185"/>
      <c r="F21" s="487">
        <f t="shared" si="1"/>
        <v>67.569897770661413</v>
      </c>
      <c r="G21" s="470"/>
      <c r="H21" s="470"/>
      <c r="I21" s="470"/>
      <c r="J21" s="470"/>
      <c r="K21" s="185"/>
      <c r="L21" s="185"/>
      <c r="M21" s="185"/>
      <c r="N21" s="471"/>
      <c r="O21" s="185"/>
      <c r="P21" s="185"/>
    </row>
    <row r="22" spans="1:16">
      <c r="A22" s="82" t="s">
        <v>273</v>
      </c>
      <c r="B22" s="496">
        <v>9.6803461538461547E-2</v>
      </c>
      <c r="C22" s="497">
        <f t="shared" si="0"/>
        <v>0.31759665907350004</v>
      </c>
      <c r="D22" s="478"/>
      <c r="E22" s="185"/>
      <c r="F22" s="487">
        <f t="shared" si="1"/>
        <v>3.1</v>
      </c>
      <c r="G22" s="470"/>
      <c r="H22" s="470"/>
      <c r="I22" s="487">
        <v>6.0185000000000004</v>
      </c>
      <c r="J22" s="487">
        <f>I22-90</f>
        <v>-83.981499999999997</v>
      </c>
      <c r="K22" s="185"/>
      <c r="L22" s="185"/>
      <c r="M22" s="185"/>
      <c r="N22" s="471"/>
      <c r="O22" s="185"/>
      <c r="P22" s="185"/>
    </row>
    <row r="23" spans="1:16">
      <c r="A23" s="114" t="s">
        <v>274</v>
      </c>
      <c r="B23" s="498">
        <v>7.4640000000000004</v>
      </c>
      <c r="C23" s="490">
        <f t="shared" si="0"/>
        <v>24.488189013600003</v>
      </c>
      <c r="D23" s="478"/>
      <c r="E23" s="185"/>
      <c r="F23" s="487">
        <f t="shared" si="1"/>
        <v>239.02451040768568</v>
      </c>
      <c r="G23" s="487">
        <f>F23/2</f>
        <v>119.51225520384284</v>
      </c>
      <c r="H23" s="470"/>
      <c r="I23" s="487">
        <v>-94.5334</v>
      </c>
      <c r="J23" s="487">
        <f>I23+90</f>
        <v>-4.5334000000000003</v>
      </c>
      <c r="K23" s="185"/>
      <c r="L23" s="185"/>
      <c r="M23" s="185"/>
      <c r="N23" s="471"/>
      <c r="O23" s="185"/>
      <c r="P23" s="185"/>
    </row>
    <row r="24" spans="1:16" s="502" customFormat="1" ht="10.75">
      <c r="A24" s="48" t="s">
        <v>275</v>
      </c>
      <c r="B24" s="499"/>
      <c r="C24" s="499"/>
      <c r="D24" s="499"/>
      <c r="E24" s="499"/>
      <c r="F24" s="500"/>
      <c r="G24" s="500"/>
      <c r="H24" s="500"/>
      <c r="I24" s="500"/>
      <c r="J24" s="500"/>
      <c r="K24" s="499"/>
      <c r="L24" s="499"/>
      <c r="M24" s="499"/>
      <c r="N24" s="501"/>
      <c r="O24" s="499"/>
      <c r="P24" s="499"/>
    </row>
    <row r="25" spans="1:16" s="502" customFormat="1" ht="10.75">
      <c r="A25" s="48"/>
      <c r="B25" s="499"/>
      <c r="C25" s="499"/>
      <c r="D25" s="499"/>
      <c r="E25" s="499"/>
      <c r="F25" s="500"/>
      <c r="G25" s="500"/>
      <c r="H25" s="500"/>
      <c r="I25" s="500"/>
      <c r="J25" s="500"/>
      <c r="K25" s="499"/>
      <c r="L25" s="499"/>
      <c r="M25" s="499"/>
      <c r="N25" s="501"/>
      <c r="O25" s="499"/>
      <c r="P25" s="499"/>
    </row>
    <row r="26" spans="1:16" s="502" customFormat="1" ht="12.45">
      <c r="A26" s="503" t="s">
        <v>276</v>
      </c>
      <c r="B26" s="504">
        <v>7.819</v>
      </c>
      <c r="C26" s="505">
        <f>B26*3.2808399</f>
        <v>25.652887178100002</v>
      </c>
      <c r="D26" s="499"/>
      <c r="E26" s="499"/>
      <c r="F26" s="487">
        <f>$F$14*B26/$B$14</f>
        <v>250.39290553023773</v>
      </c>
      <c r="G26" s="500"/>
      <c r="H26" s="500"/>
      <c r="I26" s="500"/>
      <c r="J26" s="500"/>
      <c r="K26" s="499"/>
      <c r="L26" s="499"/>
      <c r="M26" s="499"/>
      <c r="N26" s="501"/>
      <c r="O26" s="499"/>
      <c r="P26" s="499"/>
    </row>
    <row r="27" spans="1:16" s="502" customFormat="1" ht="10.75">
      <c r="A27" s="499"/>
      <c r="B27" s="499"/>
      <c r="C27" s="499"/>
      <c r="D27" s="499"/>
      <c r="E27" s="499"/>
      <c r="F27" s="500"/>
      <c r="G27" s="500"/>
      <c r="H27" s="500"/>
      <c r="I27" s="500"/>
      <c r="J27" s="500"/>
      <c r="K27" s="499"/>
      <c r="L27" s="499"/>
      <c r="M27" s="499"/>
      <c r="N27" s="501"/>
      <c r="O27" s="499"/>
      <c r="P27" s="499"/>
    </row>
    <row r="28" spans="1:16">
      <c r="A28" s="480" t="s">
        <v>277</v>
      </c>
      <c r="B28" s="481" t="s">
        <v>27</v>
      </c>
      <c r="C28" s="70" t="s">
        <v>263</v>
      </c>
      <c r="D28" s="185"/>
      <c r="E28" s="185"/>
      <c r="F28" s="470"/>
      <c r="G28" s="470"/>
      <c r="H28" s="470"/>
      <c r="I28" s="470"/>
      <c r="J28" s="470"/>
      <c r="K28" s="506"/>
      <c r="L28" s="185"/>
      <c r="M28" s="185"/>
      <c r="N28" s="471"/>
      <c r="O28" s="185"/>
      <c r="P28" s="185"/>
    </row>
    <row r="29" spans="1:16" ht="15.45">
      <c r="A29" s="482" t="s">
        <v>264</v>
      </c>
      <c r="B29" s="507">
        <f>(1/2*B30*B31)+(2/3*B30*B36)+(2/3*B34*B38)+(2/3*B33*B37)+(B39*(B39-B32)*(B39-B33)*(B39-B35))^0.5</f>
        <v>7.7306000000000008</v>
      </c>
      <c r="C29" s="508">
        <f>(1/2*C30*C31)+(2/3*C30*C36)+(2/3*C34*C38)+(2/3*C33*C37)+(C39*(C39-C32)*(C39-C33)*(C39-C35))^0.5</f>
        <v>83.211486120379121</v>
      </c>
      <c r="D29" s="509">
        <f>(C13/C29)-1</f>
        <v>6.3787660855574302E-6</v>
      </c>
      <c r="E29" s="510"/>
      <c r="F29" s="470"/>
      <c r="G29" s="470"/>
      <c r="H29" s="470"/>
      <c r="I29" s="470"/>
      <c r="J29" s="470"/>
      <c r="K29" s="185"/>
      <c r="L29" s="185"/>
      <c r="M29" s="185"/>
      <c r="N29" s="471"/>
      <c r="O29" s="185"/>
      <c r="P29" s="185"/>
    </row>
    <row r="30" spans="1:16">
      <c r="A30" s="82" t="s">
        <v>278</v>
      </c>
      <c r="B30" s="485">
        <f>B14</f>
        <v>8.1189999999999998</v>
      </c>
      <c r="C30" s="93">
        <f t="shared" ref="C30:C37" si="2">B30*3.2808399</f>
        <v>26.637139148100001</v>
      </c>
      <c r="D30" s="510"/>
      <c r="E30" s="510"/>
      <c r="F30" s="487">
        <v>260</v>
      </c>
      <c r="G30" s="470"/>
      <c r="H30" s="470"/>
      <c r="I30" s="470"/>
      <c r="J30" s="470"/>
      <c r="K30" s="185"/>
      <c r="L30" s="185"/>
      <c r="M30" s="185"/>
      <c r="N30" s="471"/>
      <c r="O30" s="185"/>
      <c r="P30" s="185"/>
    </row>
    <row r="31" spans="1:16">
      <c r="A31" s="82" t="s">
        <v>279</v>
      </c>
      <c r="B31" s="485">
        <f>B49</f>
        <v>1.9071261497291181</v>
      </c>
      <c r="C31" s="93">
        <f t="shared" si="2"/>
        <v>6.2569755663646651</v>
      </c>
      <c r="D31" s="510"/>
      <c r="E31" s="510"/>
      <c r="F31" s="487">
        <f t="shared" ref="F31:F38" si="3">B31*$F$30/$B$30</f>
        <v>61.073136954005513</v>
      </c>
      <c r="G31" s="470"/>
      <c r="H31" s="470"/>
      <c r="I31" s="470"/>
      <c r="J31" s="470"/>
      <c r="K31" s="185"/>
      <c r="L31" s="185"/>
      <c r="M31" s="185"/>
      <c r="N31" s="471"/>
      <c r="O31" s="185"/>
      <c r="P31" s="185"/>
    </row>
    <row r="32" spans="1:16">
      <c r="A32" s="82" t="s">
        <v>280</v>
      </c>
      <c r="B32" s="511">
        <f>B23</f>
        <v>7.4640000000000004</v>
      </c>
      <c r="C32" s="512">
        <f t="shared" si="2"/>
        <v>24.488189013600003</v>
      </c>
      <c r="D32" s="510"/>
      <c r="E32" s="510"/>
      <c r="F32" s="487">
        <f t="shared" si="3"/>
        <v>239.02451040768568</v>
      </c>
      <c r="G32" s="470"/>
      <c r="H32" s="470"/>
      <c r="I32" s="470"/>
      <c r="J32" s="470"/>
      <c r="K32" s="185"/>
      <c r="L32" s="185"/>
      <c r="M32" s="185"/>
      <c r="N32" s="471"/>
      <c r="O32" s="185"/>
      <c r="P32" s="185"/>
    </row>
    <row r="33" spans="1:16">
      <c r="A33" s="108" t="s">
        <v>81</v>
      </c>
      <c r="B33" s="513">
        <f>B32</f>
        <v>7.4640000000000004</v>
      </c>
      <c r="C33" s="497">
        <f t="shared" si="2"/>
        <v>24.488189013600003</v>
      </c>
      <c r="D33" s="514"/>
      <c r="E33" s="492"/>
      <c r="F33" s="487">
        <f t="shared" si="3"/>
        <v>239.02451040768568</v>
      </c>
      <c r="G33" s="487"/>
      <c r="H33" s="470"/>
      <c r="I33" s="487"/>
      <c r="J33" s="487"/>
      <c r="K33" s="185"/>
      <c r="L33" s="185"/>
      <c r="M33" s="185"/>
      <c r="N33" s="471"/>
      <c r="O33" s="185"/>
      <c r="P33" s="185"/>
    </row>
    <row r="34" spans="1:16">
      <c r="A34" s="92" t="s">
        <v>281</v>
      </c>
      <c r="B34" s="515">
        <f>B21</f>
        <v>2.11</v>
      </c>
      <c r="C34" s="516">
        <f t="shared" si="2"/>
        <v>6.9225721890000003</v>
      </c>
      <c r="D34" s="514"/>
      <c r="E34" s="492"/>
      <c r="F34" s="487">
        <f t="shared" si="3"/>
        <v>67.569897770661413</v>
      </c>
      <c r="G34" s="487"/>
      <c r="H34" s="470"/>
      <c r="I34" s="487"/>
      <c r="J34" s="487"/>
      <c r="K34" s="185"/>
      <c r="L34" s="185"/>
      <c r="M34" s="185"/>
      <c r="N34" s="471"/>
      <c r="O34" s="185"/>
      <c r="P34" s="185"/>
    </row>
    <row r="35" spans="1:16">
      <c r="A35" s="82" t="s">
        <v>267</v>
      </c>
      <c r="B35" s="517">
        <f>B16</f>
        <v>2.5000000000000001E-2</v>
      </c>
      <c r="C35" s="128">
        <f t="shared" si="2"/>
        <v>8.2020997500000012E-2</v>
      </c>
      <c r="D35" s="514"/>
      <c r="E35" s="492"/>
      <c r="F35" s="487">
        <f t="shared" si="3"/>
        <v>0.80059120581352383</v>
      </c>
      <c r="G35" s="487"/>
      <c r="H35" s="470"/>
      <c r="I35" s="487"/>
      <c r="J35" s="518" t="s">
        <v>282</v>
      </c>
      <c r="K35" s="185"/>
      <c r="L35" s="185"/>
      <c r="M35" s="185"/>
      <c r="N35" s="471"/>
      <c r="O35" s="185"/>
      <c r="P35" s="185"/>
    </row>
    <row r="36" spans="1:16">
      <c r="A36" s="82" t="s">
        <v>188</v>
      </c>
      <c r="B36" s="513">
        <f>J36*B14/F14</f>
        <v>2.6392995384615384E-2</v>
      </c>
      <c r="C36" s="128">
        <f t="shared" si="2"/>
        <v>8.6591192338362002E-2</v>
      </c>
      <c r="D36" s="514"/>
      <c r="E36" s="492"/>
      <c r="F36" s="487">
        <f t="shared" si="3"/>
        <v>0.84519999999999995</v>
      </c>
      <c r="G36" s="487"/>
      <c r="H36" s="470"/>
      <c r="I36" s="487"/>
      <c r="J36" s="487">
        <v>0.84519999999999995</v>
      </c>
      <c r="K36" s="185"/>
      <c r="L36" s="185"/>
      <c r="M36" s="185"/>
      <c r="N36" s="471"/>
      <c r="O36" s="185"/>
      <c r="P36" s="185"/>
    </row>
    <row r="37" spans="1:16">
      <c r="A37" s="82" t="s">
        <v>189</v>
      </c>
      <c r="B37" s="513">
        <f>J37*B14/F14</f>
        <v>-7.7111166178620072E-2</v>
      </c>
      <c r="C37" s="519">
        <f t="shared" si="2"/>
        <v>-0.25298939073434729</v>
      </c>
      <c r="D37" s="510"/>
      <c r="E37" s="510"/>
      <c r="F37" s="487">
        <f t="shared" si="3"/>
        <v>-2.4693808605051384</v>
      </c>
      <c r="G37" s="470"/>
      <c r="H37" s="470"/>
      <c r="I37" s="470"/>
      <c r="J37" s="487">
        <v>-2.4693808605051384</v>
      </c>
      <c r="K37" s="520" t="s">
        <v>283</v>
      </c>
      <c r="L37" s="185"/>
      <c r="M37" s="185"/>
      <c r="N37" s="471"/>
      <c r="O37" s="185"/>
      <c r="P37" s="185"/>
    </row>
    <row r="38" spans="1:16">
      <c r="A38" s="82" t="s">
        <v>284</v>
      </c>
      <c r="B38" s="521">
        <f>B22</f>
        <v>9.6803461538461547E-2</v>
      </c>
      <c r="C38" s="497">
        <f>B38*3.2808399</f>
        <v>0.31759665907350004</v>
      </c>
      <c r="D38" s="510"/>
      <c r="E38" s="510"/>
      <c r="F38" s="487">
        <f t="shared" si="3"/>
        <v>3.1</v>
      </c>
      <c r="G38" s="470"/>
      <c r="H38" s="470"/>
      <c r="I38" s="500"/>
      <c r="J38" s="487">
        <v>-2.8738999999999999</v>
      </c>
      <c r="K38" s="522" t="s">
        <v>285</v>
      </c>
      <c r="L38" s="185"/>
      <c r="M38" s="185"/>
      <c r="N38" s="471"/>
      <c r="O38" s="185"/>
      <c r="P38" s="185"/>
    </row>
    <row r="39" spans="1:16">
      <c r="A39" s="523" t="s">
        <v>286</v>
      </c>
      <c r="B39" s="524">
        <f>(1/2*(B35+B32+B33))</f>
        <v>7.4765000000000006</v>
      </c>
      <c r="C39" s="140">
        <f>(1/2*(C35+C32+C33))</f>
        <v>24.529199512350004</v>
      </c>
      <c r="D39" s="185"/>
      <c r="E39" s="185"/>
      <c r="F39" s="470"/>
      <c r="G39" s="470"/>
      <c r="H39" s="470"/>
      <c r="I39" s="470"/>
      <c r="J39" s="470"/>
      <c r="K39" s="185"/>
      <c r="L39" s="185"/>
      <c r="M39" s="185"/>
      <c r="N39" s="471"/>
      <c r="O39" s="185"/>
      <c r="P39" s="185"/>
    </row>
    <row r="40" spans="1:16" s="502" customFormat="1" ht="10.75">
      <c r="A40" s="48"/>
      <c r="B40" s="499"/>
      <c r="C40" s="499"/>
      <c r="D40" s="499"/>
      <c r="E40" s="499"/>
      <c r="F40" s="500"/>
      <c r="G40" s="500"/>
      <c r="H40" s="500"/>
      <c r="I40" s="500"/>
      <c r="J40" s="500"/>
      <c r="K40" s="499"/>
      <c r="L40" s="499"/>
      <c r="M40" s="499"/>
      <c r="N40" s="501"/>
      <c r="O40" s="499"/>
      <c r="P40" s="499"/>
    </row>
    <row r="41" spans="1:16" s="502" customFormat="1" ht="10.75">
      <c r="A41" s="525"/>
      <c r="B41" s="499"/>
      <c r="C41" s="499"/>
      <c r="D41" s="526"/>
      <c r="E41" s="499"/>
      <c r="F41" s="500"/>
      <c r="G41" s="500"/>
      <c r="H41" s="500"/>
      <c r="I41" s="500"/>
      <c r="J41" s="500"/>
      <c r="K41" s="499"/>
      <c r="L41" s="499"/>
      <c r="M41" s="499"/>
      <c r="N41" s="501"/>
      <c r="O41" s="499"/>
      <c r="P41" s="499"/>
    </row>
    <row r="42" spans="1:16">
      <c r="A42" s="480" t="s">
        <v>287</v>
      </c>
      <c r="B42" s="527" t="s">
        <v>27</v>
      </c>
      <c r="C42" s="70" t="s">
        <v>263</v>
      </c>
      <c r="D42" s="528"/>
      <c r="E42" s="185"/>
      <c r="F42" s="470"/>
      <c r="G42" s="470"/>
      <c r="H42" s="470"/>
      <c r="I42" s="470"/>
      <c r="J42" s="470"/>
      <c r="K42" s="185"/>
      <c r="L42" s="185"/>
      <c r="M42" s="185"/>
      <c r="N42" s="471"/>
      <c r="O42" s="185"/>
      <c r="P42" s="185"/>
    </row>
    <row r="43" spans="1:16" s="533" customFormat="1">
      <c r="A43" s="529" t="s">
        <v>288</v>
      </c>
      <c r="B43" s="530">
        <f>B44*B49/2</f>
        <v>7.7419786048253547</v>
      </c>
      <c r="C43" s="531">
        <f>C44*C49/2</f>
        <v>83.333964403758628</v>
      </c>
      <c r="D43" s="5"/>
      <c r="E43" s="185"/>
      <c r="F43" s="470"/>
      <c r="G43" s="470"/>
      <c r="H43" s="470"/>
      <c r="I43" s="470"/>
      <c r="J43" s="470"/>
      <c r="K43" s="470"/>
      <c r="L43" s="470"/>
      <c r="M43" s="470"/>
      <c r="N43" s="532"/>
      <c r="O43" s="470"/>
      <c r="P43" s="470"/>
    </row>
    <row r="44" spans="1:16" s="539" customFormat="1" ht="12.9">
      <c r="A44" s="534" t="s">
        <v>34</v>
      </c>
      <c r="B44" s="109">
        <f>B14</f>
        <v>8.1189999999999998</v>
      </c>
      <c r="C44" s="535">
        <f>B44*3.2808399</f>
        <v>26.637139148100001</v>
      </c>
      <c r="D44" s="536"/>
      <c r="E44" s="536"/>
      <c r="F44" s="537"/>
      <c r="G44" s="537"/>
      <c r="H44" s="537"/>
      <c r="I44" s="537"/>
      <c r="J44" s="537"/>
      <c r="K44" s="537"/>
      <c r="L44" s="537"/>
      <c r="M44" s="537"/>
      <c r="N44" s="538"/>
      <c r="O44" s="537"/>
      <c r="P44" s="537"/>
    </row>
    <row r="45" spans="1:16" s="539" customFormat="1" ht="12.9">
      <c r="A45" s="540" t="s">
        <v>74</v>
      </c>
      <c r="B45" s="541">
        <f>B23</f>
        <v>7.4640000000000004</v>
      </c>
      <c r="C45" s="542">
        <f>B45*3.2808399</f>
        <v>24.488189013600003</v>
      </c>
      <c r="D45" s="536"/>
      <c r="E45" s="536"/>
      <c r="F45" s="543">
        <f>B45*$F$30/$B$30</f>
        <v>239.02451040768568</v>
      </c>
      <c r="G45" s="537"/>
      <c r="H45" s="537"/>
      <c r="I45" s="537"/>
      <c r="J45" s="537"/>
      <c r="K45" s="537"/>
      <c r="L45" s="537"/>
      <c r="M45" s="537"/>
      <c r="N45" s="538"/>
      <c r="O45" s="537"/>
      <c r="P45" s="537"/>
    </row>
    <row r="46" spans="1:16" s="539" customFormat="1" ht="12.9">
      <c r="A46" s="544" t="s">
        <v>215</v>
      </c>
      <c r="B46" s="545">
        <f>B21</f>
        <v>2.11</v>
      </c>
      <c r="C46" s="516">
        <f>B46*3.2808399</f>
        <v>6.9225721890000003</v>
      </c>
      <c r="D46" s="536"/>
      <c r="E46" s="536"/>
      <c r="F46" s="537"/>
      <c r="G46" s="537"/>
      <c r="H46" s="537"/>
      <c r="I46" s="537"/>
      <c r="J46" s="537"/>
      <c r="K46" s="537"/>
      <c r="L46" s="537"/>
      <c r="M46" s="537"/>
      <c r="N46" s="538"/>
      <c r="O46" s="537"/>
      <c r="P46" s="537"/>
    </row>
    <row r="47" spans="1:16" s="549" customFormat="1" ht="12.45">
      <c r="A47" s="79" t="s">
        <v>289</v>
      </c>
      <c r="B47" s="546">
        <f>(B44+B45+B46)/2</f>
        <v>8.8465000000000007</v>
      </c>
      <c r="C47" s="547">
        <f>(C44+C45+C46)/2</f>
        <v>29.023950175350002</v>
      </c>
      <c r="D47" s="499"/>
      <c r="E47" s="499"/>
      <c r="F47" s="500"/>
      <c r="G47" s="500"/>
      <c r="H47" s="500"/>
      <c r="I47" s="500"/>
      <c r="J47" s="500"/>
      <c r="K47" s="500"/>
      <c r="L47" s="500"/>
      <c r="M47" s="500"/>
      <c r="N47" s="548"/>
      <c r="O47" s="500"/>
      <c r="P47" s="500"/>
    </row>
    <row r="48" spans="1:16" s="549" customFormat="1" ht="12.45">
      <c r="A48" s="79" t="s">
        <v>290</v>
      </c>
      <c r="B48" s="550">
        <f>(B47*(B47-B44)*(B47-B45)*(B47-B46))^0.5</f>
        <v>7.7419786048253547</v>
      </c>
      <c r="C48" s="551">
        <f>(C47*(C47-C44)*(C47-C45)*(C47-C46))^0.5</f>
        <v>83.333964403758628</v>
      </c>
      <c r="D48" s="499"/>
      <c r="E48" s="499"/>
      <c r="F48" s="500"/>
      <c r="G48" s="500"/>
      <c r="H48" s="500"/>
      <c r="I48" s="500"/>
      <c r="J48" s="500"/>
      <c r="K48" s="500"/>
      <c r="L48" s="500"/>
      <c r="M48" s="500"/>
      <c r="N48" s="548"/>
      <c r="O48" s="500"/>
      <c r="P48" s="500"/>
    </row>
    <row r="49" spans="1:16" s="549" customFormat="1" ht="12.45">
      <c r="A49" s="112" t="s">
        <v>291</v>
      </c>
      <c r="B49" s="552">
        <f>B48*2/B44</f>
        <v>1.9071261497291181</v>
      </c>
      <c r="C49" s="551">
        <f>C48*2/C44</f>
        <v>6.2569755663646598</v>
      </c>
      <c r="D49" s="499"/>
      <c r="E49" s="499"/>
      <c r="F49" s="487">
        <f>$F$14*B49/$B$14</f>
        <v>61.073136954005513</v>
      </c>
      <c r="G49" s="500"/>
      <c r="H49" s="500"/>
      <c r="I49" s="500"/>
      <c r="J49" s="500"/>
      <c r="K49" s="500"/>
      <c r="L49" s="500"/>
      <c r="M49" s="500"/>
      <c r="N49" s="548"/>
      <c r="O49" s="500"/>
      <c r="P49" s="500"/>
    </row>
    <row r="50" spans="1:16" s="533" customFormat="1">
      <c r="A50" s="351"/>
      <c r="B50" s="553"/>
      <c r="C50" s="542"/>
      <c r="D50" s="185"/>
      <c r="E50" s="185"/>
      <c r="F50" s="470"/>
      <c r="G50" s="470"/>
      <c r="H50" s="470"/>
      <c r="I50" s="470"/>
      <c r="J50" s="470"/>
      <c r="K50" s="470"/>
      <c r="L50" s="470"/>
      <c r="M50" s="470"/>
      <c r="N50" s="532"/>
      <c r="O50" s="470"/>
      <c r="P50" s="470"/>
    </row>
    <row r="51" spans="1:16">
      <c r="A51" s="20"/>
      <c r="B51" s="553"/>
      <c r="C51" s="542"/>
      <c r="D51" s="185"/>
      <c r="E51" s="185"/>
      <c r="F51" s="470"/>
      <c r="G51" s="470"/>
      <c r="H51" s="470"/>
      <c r="I51" s="470"/>
      <c r="J51" s="470"/>
      <c r="K51" s="185"/>
      <c r="L51" s="185"/>
      <c r="M51" s="185"/>
      <c r="N51" s="471"/>
      <c r="O51" s="185"/>
      <c r="P51" s="185"/>
    </row>
    <row r="52" spans="1:16" s="533" customFormat="1">
      <c r="A52" s="20"/>
      <c r="B52" s="253"/>
      <c r="C52" s="470"/>
      <c r="D52" s="470"/>
      <c r="E52" s="185"/>
      <c r="F52" s="470"/>
      <c r="G52" s="470"/>
      <c r="H52" s="470"/>
      <c r="I52" s="470"/>
      <c r="J52" s="470"/>
      <c r="K52" s="470"/>
      <c r="L52" s="470"/>
      <c r="M52" s="470"/>
      <c r="N52" s="532"/>
      <c r="O52" s="470"/>
      <c r="P52" s="470"/>
    </row>
    <row r="53" spans="1:16" s="533" customFormat="1">
      <c r="A53" s="20"/>
      <c r="B53" s="253"/>
      <c r="E53" s="472"/>
      <c r="O53" s="470"/>
      <c r="P53" s="470"/>
    </row>
    <row r="54" spans="1:16" s="533" customFormat="1">
      <c r="D54" s="472"/>
      <c r="E54" s="472"/>
      <c r="O54" s="470"/>
      <c r="P54" s="470"/>
    </row>
    <row r="55" spans="1:16" s="533" customFormat="1">
      <c r="D55" s="472"/>
      <c r="E55" s="472"/>
      <c r="O55" s="470"/>
      <c r="P55" s="470"/>
    </row>
    <row r="56" spans="1:16" s="533" customFormat="1">
      <c r="D56" s="472"/>
      <c r="E56" s="472"/>
      <c r="O56" s="470"/>
      <c r="P56" s="470"/>
    </row>
    <row r="57" spans="1:16" s="533" customFormat="1">
      <c r="D57" s="472"/>
      <c r="E57" s="472"/>
      <c r="O57" s="470"/>
      <c r="P57" s="470"/>
    </row>
  </sheetData>
  <mergeCells count="3">
    <mergeCell ref="A7:D7"/>
    <mergeCell ref="A8:D8"/>
    <mergeCell ref="A9:D9"/>
  </mergeCells>
  <printOptions horizontalCentered="1" verticalCentered="1"/>
  <pageMargins left="0.51181102362204722" right="0.51181102362204722" top="0.35433070866141736" bottom="0.74803149606299213" header="0.31496062992125984" footer="0.31496062992125984"/>
  <pageSetup scale="89" orientation="portrait" r:id="rId1"/>
  <headerFooter alignWithMargins="0">
    <oddFooter>&amp;L&amp;"Arial,Regular"&amp;8&amp;F
&amp;A&amp;R&amp;"Arial,Regular"&amp;8slackwater_sf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1"/>
  <sheetViews>
    <sheetView workbookViewId="0">
      <selection activeCell="B15" sqref="B15:D18"/>
    </sheetView>
  </sheetViews>
  <sheetFormatPr defaultColWidth="9.15234375" defaultRowHeight="12.45"/>
  <cols>
    <col min="1" max="1" width="28.84375" style="6" customWidth="1"/>
    <col min="2" max="2" width="9.15234375" style="6"/>
    <col min="3" max="3" width="6.69140625" style="6" customWidth="1"/>
    <col min="4" max="4" width="7.3828125" style="6" bestFit="1" customWidth="1"/>
    <col min="5" max="5" width="3.3046875" style="6" customWidth="1"/>
    <col min="6" max="6" width="6" style="6" customWidth="1"/>
    <col min="7" max="7" width="8.3046875" style="6" hidden="1" customWidth="1"/>
    <col min="8" max="16384" width="9.15234375" style="6"/>
  </cols>
  <sheetData>
    <row r="1" spans="1:13" ht="17.600000000000001">
      <c r="A1" s="554" t="s">
        <v>292</v>
      </c>
      <c r="B1" s="2"/>
      <c r="C1" s="2"/>
      <c r="D1" s="2"/>
      <c r="E1" s="2"/>
      <c r="F1" s="2"/>
      <c r="G1" s="2"/>
      <c r="H1" s="2"/>
      <c r="I1" s="2"/>
      <c r="J1" s="2"/>
      <c r="K1" s="2"/>
      <c r="L1" s="2"/>
      <c r="M1" s="2"/>
    </row>
    <row r="2" spans="1:13" ht="14.15">
      <c r="A2" s="555" t="s">
        <v>293</v>
      </c>
      <c r="B2" s="556"/>
      <c r="C2" s="556"/>
      <c r="D2" s="556"/>
      <c r="E2" s="556"/>
      <c r="F2" s="556"/>
      <c r="G2" s="556"/>
      <c r="H2" s="556"/>
      <c r="I2" s="2"/>
      <c r="J2" s="2"/>
      <c r="K2" s="2"/>
      <c r="L2" s="2"/>
      <c r="M2" s="2"/>
    </row>
    <row r="3" spans="1:13" ht="17.600000000000001">
      <c r="A3" s="557"/>
      <c r="B3" s="558" t="s">
        <v>294</v>
      </c>
      <c r="C3" s="559">
        <v>367</v>
      </c>
      <c r="D3" s="555" t="s">
        <v>295</v>
      </c>
      <c r="E3" s="560"/>
      <c r="F3" s="560"/>
      <c r="G3" s="560"/>
      <c r="H3" s="560"/>
      <c r="I3" s="2"/>
      <c r="J3" s="2"/>
      <c r="K3" s="2"/>
      <c r="L3" s="2"/>
      <c r="M3" s="2"/>
    </row>
    <row r="4" spans="1:13" ht="17.600000000000001">
      <c r="A4" s="557"/>
      <c r="B4" s="558" t="s">
        <v>296</v>
      </c>
      <c r="C4" s="561">
        <f>C16</f>
        <v>336.27280339999999</v>
      </c>
      <c r="D4" s="555" t="s">
        <v>295</v>
      </c>
      <c r="E4" s="560"/>
      <c r="F4" s="560"/>
      <c r="G4" s="560"/>
      <c r="H4" s="560"/>
      <c r="I4" s="2"/>
      <c r="J4" s="2"/>
      <c r="K4" s="2"/>
      <c r="L4" s="2"/>
      <c r="M4" s="2"/>
    </row>
    <row r="5" spans="1:13">
      <c r="A5" s="12"/>
      <c r="B5" s="2"/>
      <c r="C5" s="2"/>
      <c r="D5" s="2"/>
      <c r="E5" s="199"/>
      <c r="F5" s="2"/>
      <c r="G5" s="2"/>
      <c r="H5" s="2"/>
      <c r="I5" s="2"/>
      <c r="J5" s="2"/>
      <c r="K5" s="2"/>
      <c r="L5" s="2"/>
      <c r="M5" s="2"/>
    </row>
    <row r="6" spans="1:13">
      <c r="A6" s="25" t="s">
        <v>297</v>
      </c>
      <c r="B6" s="2"/>
      <c r="C6" s="2"/>
      <c r="D6" s="2"/>
      <c r="E6" s="199"/>
      <c r="F6" s="2"/>
      <c r="G6" s="2"/>
      <c r="H6" s="2"/>
      <c r="I6" s="2"/>
      <c r="J6" s="2"/>
      <c r="K6" s="2"/>
      <c r="L6" s="2"/>
      <c r="M6" s="2"/>
    </row>
    <row r="7" spans="1:13">
      <c r="A7" s="12" t="s">
        <v>298</v>
      </c>
      <c r="B7" s="2"/>
      <c r="C7" s="2"/>
      <c r="D7" s="2"/>
      <c r="E7" s="199"/>
      <c r="F7" s="2"/>
      <c r="G7" s="2"/>
      <c r="H7" s="2"/>
      <c r="I7" s="2"/>
      <c r="J7" s="2"/>
      <c r="K7" s="2"/>
      <c r="L7" s="2"/>
      <c r="M7" s="2"/>
    </row>
    <row r="8" spans="1:13">
      <c r="A8" s="25"/>
      <c r="B8" s="2"/>
      <c r="C8" s="2"/>
      <c r="D8" s="2"/>
      <c r="E8" s="199"/>
      <c r="F8" s="2"/>
      <c r="G8" s="2"/>
      <c r="H8" s="2"/>
      <c r="I8" s="2"/>
      <c r="J8" s="2"/>
      <c r="K8" s="2"/>
      <c r="L8" s="2"/>
      <c r="M8" s="2"/>
    </row>
    <row r="9" spans="1:13">
      <c r="A9" s="20" t="s">
        <v>299</v>
      </c>
      <c r="B9" s="2"/>
      <c r="C9" s="2"/>
      <c r="D9" s="2"/>
      <c r="E9" s="199"/>
      <c r="F9" s="2"/>
      <c r="G9" s="2"/>
      <c r="H9" s="2"/>
      <c r="I9" s="2"/>
      <c r="J9" s="2"/>
      <c r="K9" s="2"/>
      <c r="L9" s="2"/>
      <c r="M9" s="2"/>
    </row>
    <row r="10" spans="1:13">
      <c r="A10" s="20" t="s">
        <v>300</v>
      </c>
      <c r="B10" s="562"/>
      <c r="C10" s="563"/>
      <c r="D10" s="2"/>
      <c r="E10" s="199"/>
      <c r="F10" s="2"/>
      <c r="G10" s="2"/>
      <c r="H10" s="2"/>
      <c r="I10" s="2"/>
      <c r="J10" s="2"/>
      <c r="K10" s="2"/>
      <c r="L10" s="2"/>
      <c r="M10" s="2"/>
    </row>
    <row r="11" spans="1:13">
      <c r="A11" s="20" t="s">
        <v>301</v>
      </c>
      <c r="B11" s="562"/>
      <c r="C11" s="563"/>
      <c r="D11" s="2"/>
      <c r="E11" s="199"/>
      <c r="F11" s="2"/>
      <c r="G11" s="2"/>
      <c r="H11" s="2"/>
      <c r="I11" s="2"/>
      <c r="J11" s="2"/>
      <c r="K11" s="2"/>
      <c r="L11" s="2"/>
      <c r="M11" s="2"/>
    </row>
    <row r="12" spans="1:13">
      <c r="A12" s="563"/>
      <c r="B12" s="562"/>
      <c r="C12" s="563"/>
      <c r="D12" s="2"/>
      <c r="E12" s="199"/>
      <c r="F12" s="2"/>
      <c r="G12" s="2"/>
      <c r="H12" s="2"/>
      <c r="I12" s="2"/>
      <c r="J12" s="2"/>
      <c r="K12" s="2"/>
      <c r="L12" s="2"/>
      <c r="M12" s="2"/>
    </row>
    <row r="13" spans="1:13">
      <c r="A13" s="77" t="s">
        <v>302</v>
      </c>
      <c r="B13" s="172"/>
      <c r="C13" s="2"/>
      <c r="D13" s="2"/>
      <c r="E13" s="199"/>
      <c r="F13" s="2"/>
      <c r="G13" s="2"/>
      <c r="H13" s="2"/>
      <c r="I13" s="2"/>
      <c r="J13" s="2"/>
      <c r="K13" s="2"/>
      <c r="L13" s="2"/>
      <c r="M13" s="2"/>
    </row>
    <row r="14" spans="1:13">
      <c r="A14" s="482" t="s">
        <v>140</v>
      </c>
      <c r="B14" s="564"/>
      <c r="C14" s="565"/>
      <c r="D14" s="2"/>
      <c r="E14" s="199"/>
      <c r="F14" s="2"/>
      <c r="G14" s="2"/>
      <c r="H14" s="2"/>
      <c r="I14" s="2"/>
      <c r="J14" s="2"/>
      <c r="K14" s="2"/>
      <c r="L14" s="2"/>
      <c r="M14" s="2"/>
    </row>
    <row r="15" spans="1:13">
      <c r="A15" s="82"/>
      <c r="B15" s="134"/>
      <c r="C15" s="566"/>
      <c r="D15" s="2"/>
      <c r="E15" s="199"/>
      <c r="F15" s="2"/>
      <c r="G15" s="2"/>
      <c r="H15" s="2"/>
      <c r="I15" s="2"/>
      <c r="J15" s="2"/>
      <c r="K15" s="2"/>
      <c r="L15" s="2"/>
      <c r="M15" s="2"/>
    </row>
    <row r="16" spans="1:13">
      <c r="A16" s="82" t="s">
        <v>303</v>
      </c>
      <c r="B16" s="567">
        <f>(B17+B18)*0.25*B20+(B19-0.5*B20)*(B17+B18)/3</f>
        <v>31.24076561021041</v>
      </c>
      <c r="C16" s="568">
        <f>(C17+C18)*0.25*C20+(C19-0.5*C20)*(C17+C18)/3</f>
        <v>336.27280339999999</v>
      </c>
      <c r="D16" s="2"/>
      <c r="E16" s="199"/>
      <c r="F16" s="2"/>
      <c r="G16" s="2"/>
      <c r="H16" s="2"/>
      <c r="I16" s="2"/>
      <c r="J16" s="2"/>
      <c r="K16" s="2"/>
      <c r="L16" s="2"/>
      <c r="M16" s="2"/>
    </row>
    <row r="17" spans="1:13">
      <c r="A17" s="82" t="s">
        <v>304</v>
      </c>
      <c r="B17" s="541">
        <v>9.1503398260914821</v>
      </c>
      <c r="C17" s="84">
        <f>B17*3.2808399</f>
        <v>30.020799999999998</v>
      </c>
      <c r="D17" s="569">
        <f>30+0.25/12</f>
        <v>30.020833333333332</v>
      </c>
      <c r="E17" s="199"/>
      <c r="F17" s="2"/>
      <c r="G17" s="2"/>
      <c r="H17" s="2"/>
      <c r="I17" s="2"/>
      <c r="J17" s="2"/>
      <c r="K17" s="2"/>
      <c r="L17" s="2"/>
      <c r="M17" s="2"/>
    </row>
    <row r="18" spans="1:13" s="138" customFormat="1">
      <c r="A18" s="82" t="s">
        <v>305</v>
      </c>
      <c r="B18" s="545">
        <v>8.3576159872964251</v>
      </c>
      <c r="C18" s="84">
        <f>B18*3.2808399</f>
        <v>27.420000000000005</v>
      </c>
      <c r="D18" s="570">
        <f>27+5/12</f>
        <v>27.416666666666668</v>
      </c>
      <c r="E18" s="571"/>
      <c r="F18" s="563"/>
      <c r="G18" s="563"/>
      <c r="H18" s="563"/>
      <c r="I18" s="563"/>
      <c r="J18" s="563"/>
      <c r="K18" s="563"/>
      <c r="L18" s="563"/>
      <c r="M18" s="563"/>
    </row>
    <row r="19" spans="1:13" s="138" customFormat="1">
      <c r="A19" s="82" t="s">
        <v>306</v>
      </c>
      <c r="B19" s="109">
        <v>4.241901593552309</v>
      </c>
      <c r="C19" s="84">
        <f>B19*3.2808399</f>
        <v>13.916999999999998</v>
      </c>
      <c r="D19" s="570">
        <f>13+11/12</f>
        <v>13.916666666666666</v>
      </c>
      <c r="E19" s="571"/>
      <c r="F19" s="563"/>
      <c r="G19" s="563"/>
      <c r="H19" s="563"/>
      <c r="I19" s="563"/>
      <c r="J19" s="563"/>
      <c r="K19" s="563"/>
      <c r="L19" s="563"/>
      <c r="M19" s="563"/>
    </row>
    <row r="20" spans="1:13" s="138" customFormat="1">
      <c r="A20" s="82" t="s">
        <v>307</v>
      </c>
      <c r="B20" s="109">
        <v>4.4448983932437542</v>
      </c>
      <c r="C20" s="84">
        <f>B20*3.2808399</f>
        <v>14.583</v>
      </c>
      <c r="D20" s="570">
        <f>14+7/12</f>
        <v>14.583333333333334</v>
      </c>
      <c r="E20" s="571"/>
      <c r="F20" s="563"/>
      <c r="G20" s="563"/>
      <c r="H20" s="563"/>
      <c r="I20" s="563"/>
      <c r="J20" s="563"/>
      <c r="K20" s="563"/>
      <c r="L20" s="563"/>
      <c r="M20" s="563"/>
    </row>
    <row r="21" spans="1:13">
      <c r="A21" s="132"/>
      <c r="B21" s="134"/>
      <c r="C21" s="117"/>
      <c r="D21" s="172"/>
      <c r="E21" s="199"/>
      <c r="F21" s="2"/>
      <c r="G21" s="2"/>
      <c r="H21" s="2"/>
      <c r="I21" s="2"/>
      <c r="J21" s="2"/>
      <c r="K21" s="2"/>
      <c r="L21" s="2"/>
      <c r="M21" s="2"/>
    </row>
    <row r="22" spans="1:13">
      <c r="A22" s="135" t="s">
        <v>90</v>
      </c>
      <c r="B22" s="572">
        <f>IF(B20=0,0,B19/B20)</f>
        <v>0.95433038469450726</v>
      </c>
      <c r="C22" s="117"/>
      <c r="D22" s="573"/>
      <c r="E22" s="565"/>
      <c r="F22" s="2"/>
      <c r="G22" s="2"/>
      <c r="H22" s="2"/>
      <c r="I22" s="2"/>
      <c r="J22" s="2"/>
      <c r="K22" s="2"/>
      <c r="L22" s="2"/>
      <c r="M22" s="2"/>
    </row>
    <row r="23" spans="1:13">
      <c r="B23" s="162"/>
      <c r="D23" s="573"/>
      <c r="E23" s="117"/>
      <c r="F23" s="2"/>
      <c r="G23" s="2"/>
      <c r="H23" s="2"/>
      <c r="I23" s="2"/>
      <c r="J23" s="2"/>
      <c r="K23" s="2"/>
      <c r="L23" s="2"/>
      <c r="M23" s="2"/>
    </row>
    <row r="24" spans="1:13">
      <c r="A24" s="77" t="s">
        <v>308</v>
      </c>
      <c r="B24" s="574"/>
      <c r="C24" s="2"/>
      <c r="D24" s="575"/>
      <c r="E24" s="239"/>
      <c r="F24" s="576"/>
      <c r="G24" s="2"/>
      <c r="H24" s="2"/>
      <c r="I24" s="2"/>
      <c r="J24" s="2"/>
      <c r="K24" s="2"/>
      <c r="L24" s="2"/>
      <c r="M24" s="2"/>
    </row>
    <row r="25" spans="1:13">
      <c r="A25" s="482" t="s">
        <v>140</v>
      </c>
      <c r="B25" s="564"/>
      <c r="C25" s="117"/>
      <c r="D25" s="227"/>
      <c r="E25" s="199"/>
      <c r="F25" s="2"/>
      <c r="G25" s="577">
        <v>250</v>
      </c>
      <c r="H25" s="2"/>
      <c r="I25" s="2"/>
      <c r="J25" s="2"/>
      <c r="K25" s="2"/>
      <c r="L25" s="2"/>
      <c r="M25" s="2"/>
    </row>
    <row r="26" spans="1:13">
      <c r="A26" s="82"/>
      <c r="B26" s="134"/>
      <c r="C26" s="566"/>
      <c r="D26" s="2"/>
      <c r="E26" s="199"/>
      <c r="F26" s="2"/>
      <c r="G26" s="577">
        <f>G25*B18/B17</f>
        <v>228.34168309971761</v>
      </c>
      <c r="H26" s="2"/>
      <c r="I26" s="2"/>
      <c r="J26" s="2"/>
      <c r="K26" s="2"/>
      <c r="L26" s="2"/>
      <c r="M26" s="2"/>
    </row>
    <row r="27" spans="1:13">
      <c r="A27" s="82" t="s">
        <v>303</v>
      </c>
      <c r="B27" s="567">
        <f>(B28+B29)*(B31+4*B30)/12</f>
        <v>31.240765610210406</v>
      </c>
      <c r="C27" s="568">
        <f>(C28+C29)*(C31+4*C30)/12</f>
        <v>336.27280339999999</v>
      </c>
      <c r="D27" s="2"/>
      <c r="E27" s="199"/>
      <c r="F27" s="2"/>
      <c r="G27" s="577">
        <f>G25*B19/B17</f>
        <v>115.89464637851091</v>
      </c>
      <c r="H27" s="2"/>
      <c r="I27" s="2"/>
      <c r="J27" s="2"/>
      <c r="K27" s="2"/>
      <c r="L27" s="2"/>
      <c r="M27" s="2"/>
    </row>
    <row r="28" spans="1:13">
      <c r="A28" s="82" t="s">
        <v>309</v>
      </c>
      <c r="B28" s="541">
        <f>B17</f>
        <v>9.1503398260914821</v>
      </c>
      <c r="C28" s="84">
        <f>B28*3.2808399</f>
        <v>30.020799999999998</v>
      </c>
      <c r="D28" s="2"/>
      <c r="E28" s="199"/>
      <c r="F28" s="2"/>
      <c r="G28" s="577">
        <f>G25*B20/B17</f>
        <v>121.44080104460907</v>
      </c>
      <c r="H28" s="2"/>
      <c r="I28" s="2"/>
      <c r="J28" s="2"/>
      <c r="K28" s="2"/>
      <c r="L28" s="2"/>
      <c r="M28" s="2"/>
    </row>
    <row r="29" spans="1:13">
      <c r="A29" s="82" t="s">
        <v>310</v>
      </c>
      <c r="B29" s="545">
        <f>B18</f>
        <v>8.3576159872964251</v>
      </c>
      <c r="C29" s="84">
        <f>B29*3.2808399</f>
        <v>27.420000000000005</v>
      </c>
      <c r="D29" s="2"/>
      <c r="E29" s="199"/>
      <c r="F29" s="2"/>
      <c r="G29" s="2"/>
      <c r="H29" s="2"/>
      <c r="I29" s="2"/>
      <c r="J29" s="2"/>
      <c r="K29" s="2"/>
      <c r="L29" s="2"/>
      <c r="M29" s="2"/>
    </row>
    <row r="30" spans="1:13">
      <c r="A30" s="82" t="s">
        <v>311</v>
      </c>
      <c r="B30" s="109">
        <f>B19</f>
        <v>4.241901593552309</v>
      </c>
      <c r="C30" s="84">
        <f>B30*3.2808399</f>
        <v>13.916999999999998</v>
      </c>
      <c r="D30" s="2"/>
      <c r="E30" s="199"/>
      <c r="F30" s="2"/>
      <c r="G30" s="2"/>
      <c r="H30" s="2"/>
      <c r="I30" s="2"/>
      <c r="J30" s="2"/>
      <c r="K30" s="2"/>
      <c r="L30" s="2"/>
      <c r="M30" s="2"/>
    </row>
    <row r="31" spans="1:13">
      <c r="A31" s="82" t="s">
        <v>312</v>
      </c>
      <c r="B31" s="109">
        <f>B20</f>
        <v>4.4448983932437542</v>
      </c>
      <c r="C31" s="84">
        <f>B31*3.2808399</f>
        <v>14.583</v>
      </c>
      <c r="D31" s="2"/>
      <c r="E31" s="199"/>
      <c r="F31" s="2"/>
      <c r="G31" s="2"/>
      <c r="H31" s="2"/>
      <c r="I31" s="2"/>
      <c r="J31" s="2"/>
      <c r="K31" s="2"/>
      <c r="L31" s="2"/>
      <c r="M31" s="2"/>
    </row>
    <row r="32" spans="1:13">
      <c r="A32" s="132"/>
      <c r="B32" s="134"/>
      <c r="C32" s="117"/>
      <c r="D32" s="573"/>
      <c r="E32" s="117"/>
      <c r="F32" s="2"/>
      <c r="G32" s="2"/>
      <c r="H32" s="2"/>
      <c r="I32" s="2"/>
      <c r="J32" s="2"/>
      <c r="K32" s="2"/>
      <c r="L32" s="2"/>
      <c r="M32" s="2"/>
    </row>
    <row r="33" spans="1:13">
      <c r="A33" s="135" t="s">
        <v>90</v>
      </c>
      <c r="B33" s="572">
        <f>IF(B31=0,0,B30/B31)</f>
        <v>0.95433038469450726</v>
      </c>
      <c r="C33" s="117"/>
      <c r="D33" s="573"/>
      <c r="E33" s="117"/>
      <c r="F33" s="2"/>
      <c r="G33" s="2"/>
      <c r="H33" s="2"/>
      <c r="I33" s="2"/>
      <c r="J33" s="2"/>
      <c r="K33" s="2"/>
      <c r="L33" s="2"/>
      <c r="M33" s="2"/>
    </row>
    <row r="34" spans="1:13">
      <c r="A34" s="2"/>
      <c r="B34" s="2"/>
      <c r="C34" s="2"/>
      <c r="D34" s="575"/>
      <c r="E34" s="239"/>
      <c r="F34" s="576"/>
      <c r="G34" s="2"/>
      <c r="H34" s="2"/>
      <c r="I34" s="2"/>
      <c r="J34" s="2"/>
      <c r="K34" s="2"/>
      <c r="L34" s="2"/>
      <c r="M34" s="2"/>
    </row>
    <row r="35" spans="1:13">
      <c r="A35" s="70" t="s">
        <v>313</v>
      </c>
      <c r="B35" s="149">
        <f>(B17+B18)*0.25*B20+(B19-0.5*B20)*(B17+B18)/3</f>
        <v>31.24076561021041</v>
      </c>
      <c r="C35" s="578">
        <f>(C17+C18)*0.25*C20+(C19-0.5*C20)*(C17+C18)/3</f>
        <v>336.27280339999999</v>
      </c>
      <c r="D35" s="227"/>
      <c r="E35" s="199"/>
      <c r="F35" s="2"/>
      <c r="G35" s="2"/>
      <c r="H35" s="2"/>
      <c r="I35" s="2"/>
      <c r="J35" s="2"/>
      <c r="K35" s="2"/>
      <c r="L35" s="2"/>
      <c r="M35" s="2"/>
    </row>
    <row r="36" spans="1:13">
      <c r="A36" s="70" t="s">
        <v>314</v>
      </c>
      <c r="B36" s="149">
        <f>B27</f>
        <v>31.240765610210406</v>
      </c>
      <c r="C36" s="578">
        <f>C27</f>
        <v>336.27280339999999</v>
      </c>
      <c r="D36" s="2"/>
      <c r="E36" s="199"/>
      <c r="F36" s="2"/>
      <c r="G36" s="2"/>
      <c r="H36" s="2"/>
      <c r="I36" s="2"/>
      <c r="J36" s="2"/>
      <c r="K36" s="2"/>
      <c r="L36" s="2"/>
      <c r="M36" s="2"/>
    </row>
    <row r="37" spans="1:13">
      <c r="A37" s="20"/>
      <c r="B37" s="2"/>
      <c r="C37" s="2"/>
      <c r="D37" s="2"/>
      <c r="E37" s="199"/>
      <c r="F37" s="2"/>
      <c r="G37" s="2"/>
      <c r="H37" s="2"/>
      <c r="I37" s="2"/>
      <c r="J37" s="2"/>
      <c r="K37" s="2"/>
      <c r="L37" s="2"/>
      <c r="M37" s="2"/>
    </row>
    <row r="38" spans="1:13">
      <c r="A38" s="20"/>
      <c r="B38" s="2"/>
      <c r="C38" s="2"/>
      <c r="D38" s="2"/>
      <c r="E38" s="199"/>
      <c r="F38" s="2"/>
      <c r="G38" s="2"/>
      <c r="H38" s="2"/>
      <c r="I38" s="2"/>
      <c r="J38" s="2"/>
      <c r="K38" s="2"/>
      <c r="L38" s="2"/>
      <c r="M38" s="2"/>
    </row>
    <row r="39" spans="1:13">
      <c r="A39" s="20"/>
      <c r="B39" s="2"/>
      <c r="C39" s="2"/>
      <c r="D39" s="2"/>
      <c r="E39" s="199"/>
      <c r="F39" s="2"/>
      <c r="G39" s="2"/>
      <c r="H39" s="2"/>
      <c r="I39" s="2"/>
      <c r="J39" s="2"/>
      <c r="K39" s="2"/>
      <c r="L39" s="2"/>
      <c r="M39" s="2"/>
    </row>
    <row r="40" spans="1:13">
      <c r="A40" s="20"/>
      <c r="B40" s="2"/>
      <c r="C40" s="2"/>
      <c r="D40" s="2"/>
      <c r="E40" s="199"/>
      <c r="F40" s="2"/>
      <c r="G40" s="2"/>
      <c r="H40" s="2"/>
      <c r="I40" s="2"/>
      <c r="J40" s="2"/>
      <c r="K40" s="2"/>
      <c r="L40" s="2"/>
      <c r="M40" s="2"/>
    </row>
    <row r="41" spans="1:13">
      <c r="A41" s="144"/>
      <c r="B41" s="579"/>
      <c r="C41" s="148"/>
      <c r="D41" s="2"/>
      <c r="E41" s="199"/>
      <c r="F41" s="2"/>
      <c r="G41" s="2"/>
      <c r="H41" s="2"/>
      <c r="I41" s="2"/>
      <c r="J41" s="2"/>
      <c r="K41" s="2"/>
      <c r="L41" s="2"/>
      <c r="M41" s="2"/>
    </row>
    <row r="42" spans="1:13">
      <c r="A42" s="12"/>
      <c r="B42" s="580"/>
      <c r="C42" s="581"/>
      <c r="D42" s="2"/>
      <c r="E42" s="199"/>
      <c r="F42" s="2"/>
      <c r="G42" s="2"/>
      <c r="H42" s="2"/>
      <c r="I42" s="2"/>
      <c r="J42" s="2"/>
      <c r="K42" s="2"/>
      <c r="L42" s="2"/>
      <c r="M42" s="2"/>
    </row>
    <row r="43" spans="1:13">
      <c r="A43" s="12"/>
      <c r="B43" s="462"/>
      <c r="C43" s="581"/>
      <c r="D43" s="2"/>
      <c r="E43" s="199"/>
      <c r="F43" s="2"/>
      <c r="G43" s="2"/>
      <c r="H43" s="2"/>
      <c r="I43" s="2"/>
      <c r="J43" s="2"/>
      <c r="K43" s="2"/>
      <c r="L43" s="2"/>
      <c r="M43" s="2"/>
    </row>
    <row r="44" spans="1:13">
      <c r="A44" s="12"/>
      <c r="B44" s="149"/>
      <c r="C44" s="581"/>
      <c r="D44" s="2"/>
      <c r="E44" s="199"/>
      <c r="F44" s="2"/>
      <c r="G44" s="2"/>
      <c r="H44" s="2"/>
      <c r="I44" s="2"/>
      <c r="J44" s="2"/>
      <c r="K44" s="2"/>
      <c r="L44" s="2"/>
      <c r="M44" s="2"/>
    </row>
    <row r="45" spans="1:13">
      <c r="A45" s="12"/>
      <c r="B45" s="149"/>
      <c r="C45" s="581"/>
      <c r="D45" s="2"/>
      <c r="E45" s="199"/>
      <c r="F45" s="2"/>
      <c r="G45" s="2"/>
      <c r="H45" s="2"/>
      <c r="I45" s="2"/>
      <c r="J45" s="2"/>
      <c r="K45" s="2"/>
      <c r="L45" s="2"/>
      <c r="M45" s="2"/>
    </row>
    <row r="46" spans="1:13">
      <c r="A46" s="25"/>
      <c r="B46" s="582"/>
      <c r="C46" s="2"/>
      <c r="D46" s="2"/>
      <c r="F46" s="2"/>
      <c r="G46" s="2"/>
      <c r="H46" s="2"/>
      <c r="I46" s="2"/>
      <c r="J46" s="2"/>
      <c r="K46" s="2"/>
      <c r="L46" s="2"/>
      <c r="M46" s="2"/>
    </row>
    <row r="47" spans="1:13">
      <c r="A47" s="2"/>
      <c r="B47" s="2"/>
      <c r="C47" s="2"/>
      <c r="D47" s="2"/>
      <c r="E47" s="199"/>
      <c r="F47" s="2"/>
      <c r="G47" s="2"/>
      <c r="H47" s="2"/>
      <c r="I47" s="2"/>
      <c r="J47" s="2"/>
      <c r="K47" s="2"/>
      <c r="L47" s="2"/>
      <c r="M47" s="2"/>
    </row>
    <row r="48" spans="1:13">
      <c r="A48" s="2"/>
      <c r="B48" s="2"/>
      <c r="C48" s="2"/>
      <c r="D48" s="2"/>
      <c r="E48" s="2"/>
      <c r="F48" s="2"/>
      <c r="G48" s="2"/>
      <c r="H48" s="2"/>
      <c r="I48" s="2"/>
      <c r="J48" s="2"/>
      <c r="K48" s="2"/>
      <c r="L48" s="2"/>
      <c r="M48" s="2"/>
    </row>
    <row r="49" spans="1:13">
      <c r="A49" s="77"/>
      <c r="B49" s="579"/>
      <c r="C49" s="148"/>
      <c r="D49" s="2"/>
      <c r="E49" s="2"/>
      <c r="F49" s="2"/>
      <c r="G49" s="2"/>
      <c r="H49" s="2"/>
      <c r="I49" s="2"/>
      <c r="J49" s="2"/>
      <c r="K49" s="2"/>
      <c r="L49" s="2"/>
      <c r="M49" s="2"/>
    </row>
    <row r="50" spans="1:13">
      <c r="A50" s="12"/>
      <c r="B50" s="580"/>
      <c r="C50" s="581"/>
      <c r="D50" s="2"/>
      <c r="E50" s="2"/>
      <c r="F50" s="2"/>
      <c r="G50" s="2"/>
      <c r="H50" s="2"/>
      <c r="I50" s="2"/>
      <c r="J50" s="2"/>
      <c r="K50" s="2"/>
      <c r="L50" s="2"/>
      <c r="M50" s="2"/>
    </row>
    <row r="51" spans="1:13">
      <c r="A51" s="12"/>
      <c r="B51" s="462"/>
      <c r="C51" s="581"/>
      <c r="D51" s="2"/>
      <c r="E51" s="2"/>
      <c r="F51" s="2"/>
      <c r="G51" s="2"/>
      <c r="H51" s="2"/>
      <c r="I51" s="2"/>
      <c r="J51" s="2"/>
      <c r="K51" s="2"/>
      <c r="L51" s="2"/>
      <c r="M51" s="2"/>
    </row>
    <row r="52" spans="1:13">
      <c r="A52" s="12"/>
      <c r="B52" s="583"/>
      <c r="C52" s="581"/>
      <c r="D52" s="2"/>
      <c r="E52" s="2"/>
      <c r="F52" s="2"/>
      <c r="G52" s="2"/>
      <c r="H52" s="2"/>
      <c r="I52" s="2"/>
      <c r="J52" s="2"/>
      <c r="K52" s="2"/>
      <c r="L52" s="2"/>
      <c r="M52" s="2"/>
    </row>
    <row r="53" spans="1:13">
      <c r="A53" s="12"/>
      <c r="B53" s="149"/>
      <c r="C53" s="581"/>
      <c r="D53" s="2"/>
      <c r="E53" s="2"/>
      <c r="F53" s="2"/>
      <c r="G53" s="2"/>
      <c r="H53" s="2"/>
      <c r="I53" s="2"/>
      <c r="J53" s="2"/>
      <c r="K53" s="2"/>
      <c r="L53" s="2"/>
      <c r="M53" s="2"/>
    </row>
    <row r="54" spans="1:13">
      <c r="A54" s="25"/>
      <c r="B54" s="582"/>
      <c r="C54" s="2"/>
      <c r="D54" s="2"/>
      <c r="E54" s="2"/>
      <c r="F54" s="2"/>
      <c r="G54" s="2"/>
      <c r="H54" s="2"/>
      <c r="I54" s="2"/>
      <c r="J54" s="2"/>
      <c r="K54" s="2"/>
      <c r="L54" s="2"/>
      <c r="M54" s="2"/>
    </row>
    <row r="55" spans="1:13">
      <c r="A55" s="2"/>
      <c r="B55" s="2"/>
      <c r="C55" s="2"/>
      <c r="D55" s="2"/>
      <c r="E55" s="2"/>
      <c r="F55" s="2"/>
      <c r="G55" s="2"/>
      <c r="H55" s="2"/>
      <c r="I55" s="2"/>
      <c r="J55" s="2"/>
      <c r="K55" s="2"/>
      <c r="L55" s="2"/>
      <c r="M55" s="2"/>
    </row>
    <row r="56" spans="1:13">
      <c r="A56" s="2"/>
      <c r="B56" s="2"/>
      <c r="C56" s="2"/>
      <c r="D56" s="2"/>
      <c r="E56" s="2"/>
      <c r="F56" s="2"/>
      <c r="G56" s="2"/>
      <c r="H56" s="2"/>
      <c r="I56" s="2"/>
      <c r="J56" s="2"/>
      <c r="K56" s="2"/>
      <c r="L56" s="2"/>
      <c r="M56" s="2"/>
    </row>
    <row r="57" spans="1:13">
      <c r="A57" s="2"/>
      <c r="B57" s="2"/>
      <c r="C57" s="2"/>
      <c r="D57" s="2"/>
      <c r="E57" s="2"/>
      <c r="F57" s="2"/>
      <c r="G57" s="2"/>
      <c r="H57" s="2"/>
      <c r="I57" s="2"/>
      <c r="J57" s="2"/>
      <c r="K57" s="2"/>
      <c r="L57" s="2"/>
      <c r="M57" s="2"/>
    </row>
    <row r="58" spans="1:13">
      <c r="A58" s="2"/>
      <c r="B58" s="2"/>
      <c r="C58" s="2"/>
      <c r="D58" s="2"/>
      <c r="E58" s="2"/>
      <c r="F58" s="2"/>
      <c r="G58" s="2"/>
      <c r="H58" s="2"/>
      <c r="I58" s="2"/>
      <c r="J58" s="2"/>
      <c r="K58" s="2"/>
      <c r="L58" s="2"/>
      <c r="M58" s="2"/>
    </row>
    <row r="59" spans="1:13">
      <c r="A59" s="2"/>
      <c r="B59" s="2"/>
      <c r="C59" s="2"/>
      <c r="D59" s="2"/>
      <c r="E59" s="2"/>
      <c r="F59" s="2"/>
      <c r="G59" s="2"/>
      <c r="H59" s="2"/>
      <c r="I59" s="2"/>
      <c r="J59" s="2"/>
      <c r="K59" s="2"/>
      <c r="L59" s="2"/>
      <c r="M59" s="2"/>
    </row>
    <row r="60" spans="1:13">
      <c r="A60" s="2"/>
      <c r="B60" s="2"/>
      <c r="C60" s="2"/>
      <c r="D60" s="2"/>
      <c r="E60" s="2"/>
      <c r="F60" s="2"/>
      <c r="G60" s="2"/>
      <c r="H60" s="2"/>
      <c r="I60" s="2"/>
      <c r="J60" s="2"/>
      <c r="K60" s="2"/>
      <c r="L60" s="2"/>
      <c r="M60" s="2"/>
    </row>
    <row r="61" spans="1:13">
      <c r="A61" s="2"/>
      <c r="B61" s="2"/>
      <c r="C61" s="2"/>
      <c r="D61" s="2"/>
      <c r="E61" s="2"/>
      <c r="F61" s="2"/>
      <c r="G61" s="2"/>
      <c r="H61" s="2"/>
      <c r="I61" s="2"/>
      <c r="J61" s="2"/>
      <c r="K61" s="2"/>
      <c r="L61" s="2"/>
      <c r="M61" s="2"/>
    </row>
  </sheetData>
  <printOptions horizontalCentered="1"/>
  <pageMargins left="0.47244094488188981" right="0.47244094488188981" top="0.59055118110236227" bottom="0.39370078740157483" header="0.31496062992125984" footer="0.31496062992125984"/>
  <pageSetup scale="84" orientation="portrait" r:id="rId1"/>
  <headerFooter alignWithMargins="0">
    <oddFooter>&amp;L&amp;"Arial,Bold"&amp;8workbook:&amp;"Arial,Regular" &amp;F
&amp;"Arial,Bold"worksheet:&amp;"Arial,Regular" &amp;A&amp;Rslackwater_sf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3"/>
  <sheetViews>
    <sheetView zoomScaleNormal="100" workbookViewId="0">
      <selection activeCell="B15" sqref="B15:D18"/>
    </sheetView>
  </sheetViews>
  <sheetFormatPr defaultRowHeight="12.45"/>
  <cols>
    <col min="1" max="1" width="22.84375" style="650" customWidth="1"/>
    <col min="2" max="3" width="10.69140625" style="650" customWidth="1"/>
    <col min="4" max="4" width="19.53515625" style="650" customWidth="1"/>
    <col min="5" max="5" width="22.69140625" style="650" customWidth="1"/>
    <col min="6" max="6" width="3.84375" style="650" customWidth="1"/>
    <col min="7" max="7" width="13.3828125" style="650" customWidth="1"/>
    <col min="8" max="8" width="11.84375" style="650" customWidth="1"/>
    <col min="9" max="9" width="8.69140625" style="650"/>
    <col min="10" max="10" width="8.69140625" style="651"/>
    <col min="11" max="256" width="8.69140625" style="650"/>
    <col min="257" max="257" width="22.84375" style="650" customWidth="1"/>
    <col min="258" max="259" width="10.69140625" style="650" customWidth="1"/>
    <col min="260" max="260" width="15.15234375" style="650" customWidth="1"/>
    <col min="261" max="261" width="22.69140625" style="650" customWidth="1"/>
    <col min="262" max="262" width="3.84375" style="650" customWidth="1"/>
    <col min="263" max="263" width="13.3828125" style="650" customWidth="1"/>
    <col min="264" max="264" width="11.84375" style="650" customWidth="1"/>
    <col min="265" max="512" width="8.69140625" style="650"/>
    <col min="513" max="513" width="22.84375" style="650" customWidth="1"/>
    <col min="514" max="515" width="10.69140625" style="650" customWidth="1"/>
    <col min="516" max="516" width="15.15234375" style="650" customWidth="1"/>
    <col min="517" max="517" width="22.69140625" style="650" customWidth="1"/>
    <col min="518" max="518" width="3.84375" style="650" customWidth="1"/>
    <col min="519" max="519" width="13.3828125" style="650" customWidth="1"/>
    <col min="520" max="520" width="11.84375" style="650" customWidth="1"/>
    <col min="521" max="768" width="8.69140625" style="650"/>
    <col min="769" max="769" width="22.84375" style="650" customWidth="1"/>
    <col min="770" max="771" width="10.69140625" style="650" customWidth="1"/>
    <col min="772" max="772" width="15.15234375" style="650" customWidth="1"/>
    <col min="773" max="773" width="22.69140625" style="650" customWidth="1"/>
    <col min="774" max="774" width="3.84375" style="650" customWidth="1"/>
    <col min="775" max="775" width="13.3828125" style="650" customWidth="1"/>
    <col min="776" max="776" width="11.84375" style="650" customWidth="1"/>
    <col min="777" max="1024" width="8.69140625" style="650"/>
    <col min="1025" max="1025" width="22.84375" style="650" customWidth="1"/>
    <col min="1026" max="1027" width="10.69140625" style="650" customWidth="1"/>
    <col min="1028" max="1028" width="15.15234375" style="650" customWidth="1"/>
    <col min="1029" max="1029" width="22.69140625" style="650" customWidth="1"/>
    <col min="1030" max="1030" width="3.84375" style="650" customWidth="1"/>
    <col min="1031" max="1031" width="13.3828125" style="650" customWidth="1"/>
    <col min="1032" max="1032" width="11.84375" style="650" customWidth="1"/>
    <col min="1033" max="1280" width="8.69140625" style="650"/>
    <col min="1281" max="1281" width="22.84375" style="650" customWidth="1"/>
    <col min="1282" max="1283" width="10.69140625" style="650" customWidth="1"/>
    <col min="1284" max="1284" width="15.15234375" style="650" customWidth="1"/>
    <col min="1285" max="1285" width="22.69140625" style="650" customWidth="1"/>
    <col min="1286" max="1286" width="3.84375" style="650" customWidth="1"/>
    <col min="1287" max="1287" width="13.3828125" style="650" customWidth="1"/>
    <col min="1288" max="1288" width="11.84375" style="650" customWidth="1"/>
    <col min="1289" max="1536" width="8.69140625" style="650"/>
    <col min="1537" max="1537" width="22.84375" style="650" customWidth="1"/>
    <col min="1538" max="1539" width="10.69140625" style="650" customWidth="1"/>
    <col min="1540" max="1540" width="15.15234375" style="650" customWidth="1"/>
    <col min="1541" max="1541" width="22.69140625" style="650" customWidth="1"/>
    <col min="1542" max="1542" width="3.84375" style="650" customWidth="1"/>
    <col min="1543" max="1543" width="13.3828125" style="650" customWidth="1"/>
    <col min="1544" max="1544" width="11.84375" style="650" customWidth="1"/>
    <col min="1545" max="1792" width="8.69140625" style="650"/>
    <col min="1793" max="1793" width="22.84375" style="650" customWidth="1"/>
    <col min="1794" max="1795" width="10.69140625" style="650" customWidth="1"/>
    <col min="1796" max="1796" width="15.15234375" style="650" customWidth="1"/>
    <col min="1797" max="1797" width="22.69140625" style="650" customWidth="1"/>
    <col min="1798" max="1798" width="3.84375" style="650" customWidth="1"/>
    <col min="1799" max="1799" width="13.3828125" style="650" customWidth="1"/>
    <col min="1800" max="1800" width="11.84375" style="650" customWidth="1"/>
    <col min="1801" max="2048" width="8.69140625" style="650"/>
    <col min="2049" max="2049" width="22.84375" style="650" customWidth="1"/>
    <col min="2050" max="2051" width="10.69140625" style="650" customWidth="1"/>
    <col min="2052" max="2052" width="15.15234375" style="650" customWidth="1"/>
    <col min="2053" max="2053" width="22.69140625" style="650" customWidth="1"/>
    <col min="2054" max="2054" width="3.84375" style="650" customWidth="1"/>
    <col min="2055" max="2055" width="13.3828125" style="650" customWidth="1"/>
    <col min="2056" max="2056" width="11.84375" style="650" customWidth="1"/>
    <col min="2057" max="2304" width="8.69140625" style="650"/>
    <col min="2305" max="2305" width="22.84375" style="650" customWidth="1"/>
    <col min="2306" max="2307" width="10.69140625" style="650" customWidth="1"/>
    <col min="2308" max="2308" width="15.15234375" style="650" customWidth="1"/>
    <col min="2309" max="2309" width="22.69140625" style="650" customWidth="1"/>
    <col min="2310" max="2310" width="3.84375" style="650" customWidth="1"/>
    <col min="2311" max="2311" width="13.3828125" style="650" customWidth="1"/>
    <col min="2312" max="2312" width="11.84375" style="650" customWidth="1"/>
    <col min="2313" max="2560" width="8.69140625" style="650"/>
    <col min="2561" max="2561" width="22.84375" style="650" customWidth="1"/>
    <col min="2562" max="2563" width="10.69140625" style="650" customWidth="1"/>
    <col min="2564" max="2564" width="15.15234375" style="650" customWidth="1"/>
    <col min="2565" max="2565" width="22.69140625" style="650" customWidth="1"/>
    <col min="2566" max="2566" width="3.84375" style="650" customWidth="1"/>
    <col min="2567" max="2567" width="13.3828125" style="650" customWidth="1"/>
    <col min="2568" max="2568" width="11.84375" style="650" customWidth="1"/>
    <col min="2569" max="2816" width="8.69140625" style="650"/>
    <col min="2817" max="2817" width="22.84375" style="650" customWidth="1"/>
    <col min="2818" max="2819" width="10.69140625" style="650" customWidth="1"/>
    <col min="2820" max="2820" width="15.15234375" style="650" customWidth="1"/>
    <col min="2821" max="2821" width="22.69140625" style="650" customWidth="1"/>
    <col min="2822" max="2822" width="3.84375" style="650" customWidth="1"/>
    <col min="2823" max="2823" width="13.3828125" style="650" customWidth="1"/>
    <col min="2824" max="2824" width="11.84375" style="650" customWidth="1"/>
    <col min="2825" max="3072" width="8.69140625" style="650"/>
    <col min="3073" max="3073" width="22.84375" style="650" customWidth="1"/>
    <col min="3074" max="3075" width="10.69140625" style="650" customWidth="1"/>
    <col min="3076" max="3076" width="15.15234375" style="650" customWidth="1"/>
    <col min="3077" max="3077" width="22.69140625" style="650" customWidth="1"/>
    <col min="3078" max="3078" width="3.84375" style="650" customWidth="1"/>
    <col min="3079" max="3079" width="13.3828125" style="650" customWidth="1"/>
    <col min="3080" max="3080" width="11.84375" style="650" customWidth="1"/>
    <col min="3081" max="3328" width="8.69140625" style="650"/>
    <col min="3329" max="3329" width="22.84375" style="650" customWidth="1"/>
    <col min="3330" max="3331" width="10.69140625" style="650" customWidth="1"/>
    <col min="3332" max="3332" width="15.15234375" style="650" customWidth="1"/>
    <col min="3333" max="3333" width="22.69140625" style="650" customWidth="1"/>
    <col min="3334" max="3334" width="3.84375" style="650" customWidth="1"/>
    <col min="3335" max="3335" width="13.3828125" style="650" customWidth="1"/>
    <col min="3336" max="3336" width="11.84375" style="650" customWidth="1"/>
    <col min="3337" max="3584" width="8.69140625" style="650"/>
    <col min="3585" max="3585" width="22.84375" style="650" customWidth="1"/>
    <col min="3586" max="3587" width="10.69140625" style="650" customWidth="1"/>
    <col min="3588" max="3588" width="15.15234375" style="650" customWidth="1"/>
    <col min="3589" max="3589" width="22.69140625" style="650" customWidth="1"/>
    <col min="3590" max="3590" width="3.84375" style="650" customWidth="1"/>
    <col min="3591" max="3591" width="13.3828125" style="650" customWidth="1"/>
    <col min="3592" max="3592" width="11.84375" style="650" customWidth="1"/>
    <col min="3593" max="3840" width="8.69140625" style="650"/>
    <col min="3841" max="3841" width="22.84375" style="650" customWidth="1"/>
    <col min="3842" max="3843" width="10.69140625" style="650" customWidth="1"/>
    <col min="3844" max="3844" width="15.15234375" style="650" customWidth="1"/>
    <col min="3845" max="3845" width="22.69140625" style="650" customWidth="1"/>
    <col min="3846" max="3846" width="3.84375" style="650" customWidth="1"/>
    <col min="3847" max="3847" width="13.3828125" style="650" customWidth="1"/>
    <col min="3848" max="3848" width="11.84375" style="650" customWidth="1"/>
    <col min="3849" max="4096" width="8.69140625" style="650"/>
    <col min="4097" max="4097" width="22.84375" style="650" customWidth="1"/>
    <col min="4098" max="4099" width="10.69140625" style="650" customWidth="1"/>
    <col min="4100" max="4100" width="15.15234375" style="650" customWidth="1"/>
    <col min="4101" max="4101" width="22.69140625" style="650" customWidth="1"/>
    <col min="4102" max="4102" width="3.84375" style="650" customWidth="1"/>
    <col min="4103" max="4103" width="13.3828125" style="650" customWidth="1"/>
    <col min="4104" max="4104" width="11.84375" style="650" customWidth="1"/>
    <col min="4105" max="4352" width="8.69140625" style="650"/>
    <col min="4353" max="4353" width="22.84375" style="650" customWidth="1"/>
    <col min="4354" max="4355" width="10.69140625" style="650" customWidth="1"/>
    <col min="4356" max="4356" width="15.15234375" style="650" customWidth="1"/>
    <col min="4357" max="4357" width="22.69140625" style="650" customWidth="1"/>
    <col min="4358" max="4358" width="3.84375" style="650" customWidth="1"/>
    <col min="4359" max="4359" width="13.3828125" style="650" customWidth="1"/>
    <col min="4360" max="4360" width="11.84375" style="650" customWidth="1"/>
    <col min="4361" max="4608" width="8.69140625" style="650"/>
    <col min="4609" max="4609" width="22.84375" style="650" customWidth="1"/>
    <col min="4610" max="4611" width="10.69140625" style="650" customWidth="1"/>
    <col min="4612" max="4612" width="15.15234375" style="650" customWidth="1"/>
    <col min="4613" max="4613" width="22.69140625" style="650" customWidth="1"/>
    <col min="4614" max="4614" width="3.84375" style="650" customWidth="1"/>
    <col min="4615" max="4615" width="13.3828125" style="650" customWidth="1"/>
    <col min="4616" max="4616" width="11.84375" style="650" customWidth="1"/>
    <col min="4617" max="4864" width="8.69140625" style="650"/>
    <col min="4865" max="4865" width="22.84375" style="650" customWidth="1"/>
    <col min="4866" max="4867" width="10.69140625" style="650" customWidth="1"/>
    <col min="4868" max="4868" width="15.15234375" style="650" customWidth="1"/>
    <col min="4869" max="4869" width="22.69140625" style="650" customWidth="1"/>
    <col min="4870" max="4870" width="3.84375" style="650" customWidth="1"/>
    <col min="4871" max="4871" width="13.3828125" style="650" customWidth="1"/>
    <col min="4872" max="4872" width="11.84375" style="650" customWidth="1"/>
    <col min="4873" max="5120" width="8.69140625" style="650"/>
    <col min="5121" max="5121" width="22.84375" style="650" customWidth="1"/>
    <col min="5122" max="5123" width="10.69140625" style="650" customWidth="1"/>
    <col min="5124" max="5124" width="15.15234375" style="650" customWidth="1"/>
    <col min="5125" max="5125" width="22.69140625" style="650" customWidth="1"/>
    <col min="5126" max="5126" width="3.84375" style="650" customWidth="1"/>
    <col min="5127" max="5127" width="13.3828125" style="650" customWidth="1"/>
    <col min="5128" max="5128" width="11.84375" style="650" customWidth="1"/>
    <col min="5129" max="5376" width="8.69140625" style="650"/>
    <col min="5377" max="5377" width="22.84375" style="650" customWidth="1"/>
    <col min="5378" max="5379" width="10.69140625" style="650" customWidth="1"/>
    <col min="5380" max="5380" width="15.15234375" style="650" customWidth="1"/>
    <col min="5381" max="5381" width="22.69140625" style="650" customWidth="1"/>
    <col min="5382" max="5382" width="3.84375" style="650" customWidth="1"/>
    <col min="5383" max="5383" width="13.3828125" style="650" customWidth="1"/>
    <col min="5384" max="5384" width="11.84375" style="650" customWidth="1"/>
    <col min="5385" max="5632" width="8.69140625" style="650"/>
    <col min="5633" max="5633" width="22.84375" style="650" customWidth="1"/>
    <col min="5634" max="5635" width="10.69140625" style="650" customWidth="1"/>
    <col min="5636" max="5636" width="15.15234375" style="650" customWidth="1"/>
    <col min="5637" max="5637" width="22.69140625" style="650" customWidth="1"/>
    <col min="5638" max="5638" width="3.84375" style="650" customWidth="1"/>
    <col min="5639" max="5639" width="13.3828125" style="650" customWidth="1"/>
    <col min="5640" max="5640" width="11.84375" style="650" customWidth="1"/>
    <col min="5641" max="5888" width="8.69140625" style="650"/>
    <col min="5889" max="5889" width="22.84375" style="650" customWidth="1"/>
    <col min="5890" max="5891" width="10.69140625" style="650" customWidth="1"/>
    <col min="5892" max="5892" width="15.15234375" style="650" customWidth="1"/>
    <col min="5893" max="5893" width="22.69140625" style="650" customWidth="1"/>
    <col min="5894" max="5894" width="3.84375" style="650" customWidth="1"/>
    <col min="5895" max="5895" width="13.3828125" style="650" customWidth="1"/>
    <col min="5896" max="5896" width="11.84375" style="650" customWidth="1"/>
    <col min="5897" max="6144" width="8.69140625" style="650"/>
    <col min="6145" max="6145" width="22.84375" style="650" customWidth="1"/>
    <col min="6146" max="6147" width="10.69140625" style="650" customWidth="1"/>
    <col min="6148" max="6148" width="15.15234375" style="650" customWidth="1"/>
    <col min="6149" max="6149" width="22.69140625" style="650" customWidth="1"/>
    <col min="6150" max="6150" width="3.84375" style="650" customWidth="1"/>
    <col min="6151" max="6151" width="13.3828125" style="650" customWidth="1"/>
    <col min="6152" max="6152" width="11.84375" style="650" customWidth="1"/>
    <col min="6153" max="6400" width="8.69140625" style="650"/>
    <col min="6401" max="6401" width="22.84375" style="650" customWidth="1"/>
    <col min="6402" max="6403" width="10.69140625" style="650" customWidth="1"/>
    <col min="6404" max="6404" width="15.15234375" style="650" customWidth="1"/>
    <col min="6405" max="6405" width="22.69140625" style="650" customWidth="1"/>
    <col min="6406" max="6406" width="3.84375" style="650" customWidth="1"/>
    <col min="6407" max="6407" width="13.3828125" style="650" customWidth="1"/>
    <col min="6408" max="6408" width="11.84375" style="650" customWidth="1"/>
    <col min="6409" max="6656" width="8.69140625" style="650"/>
    <col min="6657" max="6657" width="22.84375" style="650" customWidth="1"/>
    <col min="6658" max="6659" width="10.69140625" style="650" customWidth="1"/>
    <col min="6660" max="6660" width="15.15234375" style="650" customWidth="1"/>
    <col min="6661" max="6661" width="22.69140625" style="650" customWidth="1"/>
    <col min="6662" max="6662" width="3.84375" style="650" customWidth="1"/>
    <col min="6663" max="6663" width="13.3828125" style="650" customWidth="1"/>
    <col min="6664" max="6664" width="11.84375" style="650" customWidth="1"/>
    <col min="6665" max="6912" width="8.69140625" style="650"/>
    <col min="6913" max="6913" width="22.84375" style="650" customWidth="1"/>
    <col min="6914" max="6915" width="10.69140625" style="650" customWidth="1"/>
    <col min="6916" max="6916" width="15.15234375" style="650" customWidth="1"/>
    <col min="6917" max="6917" width="22.69140625" style="650" customWidth="1"/>
    <col min="6918" max="6918" width="3.84375" style="650" customWidth="1"/>
    <col min="6919" max="6919" width="13.3828125" style="650" customWidth="1"/>
    <col min="6920" max="6920" width="11.84375" style="650" customWidth="1"/>
    <col min="6921" max="7168" width="8.69140625" style="650"/>
    <col min="7169" max="7169" width="22.84375" style="650" customWidth="1"/>
    <col min="7170" max="7171" width="10.69140625" style="650" customWidth="1"/>
    <col min="7172" max="7172" width="15.15234375" style="650" customWidth="1"/>
    <col min="7173" max="7173" width="22.69140625" style="650" customWidth="1"/>
    <col min="7174" max="7174" width="3.84375" style="650" customWidth="1"/>
    <col min="7175" max="7175" width="13.3828125" style="650" customWidth="1"/>
    <col min="7176" max="7176" width="11.84375" style="650" customWidth="1"/>
    <col min="7177" max="7424" width="8.69140625" style="650"/>
    <col min="7425" max="7425" width="22.84375" style="650" customWidth="1"/>
    <col min="7426" max="7427" width="10.69140625" style="650" customWidth="1"/>
    <col min="7428" max="7428" width="15.15234375" style="650" customWidth="1"/>
    <col min="7429" max="7429" width="22.69140625" style="650" customWidth="1"/>
    <col min="7430" max="7430" width="3.84375" style="650" customWidth="1"/>
    <col min="7431" max="7431" width="13.3828125" style="650" customWidth="1"/>
    <col min="7432" max="7432" width="11.84375" style="650" customWidth="1"/>
    <col min="7433" max="7680" width="8.69140625" style="650"/>
    <col min="7681" max="7681" width="22.84375" style="650" customWidth="1"/>
    <col min="7682" max="7683" width="10.69140625" style="650" customWidth="1"/>
    <col min="7684" max="7684" width="15.15234375" style="650" customWidth="1"/>
    <col min="7685" max="7685" width="22.69140625" style="650" customWidth="1"/>
    <col min="7686" max="7686" width="3.84375" style="650" customWidth="1"/>
    <col min="7687" max="7687" width="13.3828125" style="650" customWidth="1"/>
    <col min="7688" max="7688" width="11.84375" style="650" customWidth="1"/>
    <col min="7689" max="7936" width="8.69140625" style="650"/>
    <col min="7937" max="7937" width="22.84375" style="650" customWidth="1"/>
    <col min="7938" max="7939" width="10.69140625" style="650" customWidth="1"/>
    <col min="7940" max="7940" width="15.15234375" style="650" customWidth="1"/>
    <col min="7941" max="7941" width="22.69140625" style="650" customWidth="1"/>
    <col min="7942" max="7942" width="3.84375" style="650" customWidth="1"/>
    <col min="7943" max="7943" width="13.3828125" style="650" customWidth="1"/>
    <col min="7944" max="7944" width="11.84375" style="650" customWidth="1"/>
    <col min="7945" max="8192" width="8.69140625" style="650"/>
    <col min="8193" max="8193" width="22.84375" style="650" customWidth="1"/>
    <col min="8194" max="8195" width="10.69140625" style="650" customWidth="1"/>
    <col min="8196" max="8196" width="15.15234375" style="650" customWidth="1"/>
    <col min="8197" max="8197" width="22.69140625" style="650" customWidth="1"/>
    <col min="8198" max="8198" width="3.84375" style="650" customWidth="1"/>
    <col min="8199" max="8199" width="13.3828125" style="650" customWidth="1"/>
    <col min="8200" max="8200" width="11.84375" style="650" customWidth="1"/>
    <col min="8201" max="8448" width="8.69140625" style="650"/>
    <col min="8449" max="8449" width="22.84375" style="650" customWidth="1"/>
    <col min="8450" max="8451" width="10.69140625" style="650" customWidth="1"/>
    <col min="8452" max="8452" width="15.15234375" style="650" customWidth="1"/>
    <col min="8453" max="8453" width="22.69140625" style="650" customWidth="1"/>
    <col min="8454" max="8454" width="3.84375" style="650" customWidth="1"/>
    <col min="8455" max="8455" width="13.3828125" style="650" customWidth="1"/>
    <col min="8456" max="8456" width="11.84375" style="650" customWidth="1"/>
    <col min="8457" max="8704" width="8.69140625" style="650"/>
    <col min="8705" max="8705" width="22.84375" style="650" customWidth="1"/>
    <col min="8706" max="8707" width="10.69140625" style="650" customWidth="1"/>
    <col min="8708" max="8708" width="15.15234375" style="650" customWidth="1"/>
    <col min="8709" max="8709" width="22.69140625" style="650" customWidth="1"/>
    <col min="8710" max="8710" width="3.84375" style="650" customWidth="1"/>
    <col min="8711" max="8711" width="13.3828125" style="650" customWidth="1"/>
    <col min="8712" max="8712" width="11.84375" style="650" customWidth="1"/>
    <col min="8713" max="8960" width="8.69140625" style="650"/>
    <col min="8961" max="8961" width="22.84375" style="650" customWidth="1"/>
    <col min="8962" max="8963" width="10.69140625" style="650" customWidth="1"/>
    <col min="8964" max="8964" width="15.15234375" style="650" customWidth="1"/>
    <col min="8965" max="8965" width="22.69140625" style="650" customWidth="1"/>
    <col min="8966" max="8966" width="3.84375" style="650" customWidth="1"/>
    <col min="8967" max="8967" width="13.3828125" style="650" customWidth="1"/>
    <col min="8968" max="8968" width="11.84375" style="650" customWidth="1"/>
    <col min="8969" max="9216" width="8.69140625" style="650"/>
    <col min="9217" max="9217" width="22.84375" style="650" customWidth="1"/>
    <col min="9218" max="9219" width="10.69140625" style="650" customWidth="1"/>
    <col min="9220" max="9220" width="15.15234375" style="650" customWidth="1"/>
    <col min="9221" max="9221" width="22.69140625" style="650" customWidth="1"/>
    <col min="9222" max="9222" width="3.84375" style="650" customWidth="1"/>
    <col min="9223" max="9223" width="13.3828125" style="650" customWidth="1"/>
    <col min="9224" max="9224" width="11.84375" style="650" customWidth="1"/>
    <col min="9225" max="9472" width="8.69140625" style="650"/>
    <col min="9473" max="9473" width="22.84375" style="650" customWidth="1"/>
    <col min="9474" max="9475" width="10.69140625" style="650" customWidth="1"/>
    <col min="9476" max="9476" width="15.15234375" style="650" customWidth="1"/>
    <col min="9477" max="9477" width="22.69140625" style="650" customWidth="1"/>
    <col min="9478" max="9478" width="3.84375" style="650" customWidth="1"/>
    <col min="9479" max="9479" width="13.3828125" style="650" customWidth="1"/>
    <col min="9480" max="9480" width="11.84375" style="650" customWidth="1"/>
    <col min="9481" max="9728" width="8.69140625" style="650"/>
    <col min="9729" max="9729" width="22.84375" style="650" customWidth="1"/>
    <col min="9730" max="9731" width="10.69140625" style="650" customWidth="1"/>
    <col min="9732" max="9732" width="15.15234375" style="650" customWidth="1"/>
    <col min="9733" max="9733" width="22.69140625" style="650" customWidth="1"/>
    <col min="9734" max="9734" width="3.84375" style="650" customWidth="1"/>
    <col min="9735" max="9735" width="13.3828125" style="650" customWidth="1"/>
    <col min="9736" max="9736" width="11.84375" style="650" customWidth="1"/>
    <col min="9737" max="9984" width="8.69140625" style="650"/>
    <col min="9985" max="9985" width="22.84375" style="650" customWidth="1"/>
    <col min="9986" max="9987" width="10.69140625" style="650" customWidth="1"/>
    <col min="9988" max="9988" width="15.15234375" style="650" customWidth="1"/>
    <col min="9989" max="9989" width="22.69140625" style="650" customWidth="1"/>
    <col min="9990" max="9990" width="3.84375" style="650" customWidth="1"/>
    <col min="9991" max="9991" width="13.3828125" style="650" customWidth="1"/>
    <col min="9992" max="9992" width="11.84375" style="650" customWidth="1"/>
    <col min="9993" max="10240" width="8.69140625" style="650"/>
    <col min="10241" max="10241" width="22.84375" style="650" customWidth="1"/>
    <col min="10242" max="10243" width="10.69140625" style="650" customWidth="1"/>
    <col min="10244" max="10244" width="15.15234375" style="650" customWidth="1"/>
    <col min="10245" max="10245" width="22.69140625" style="650" customWidth="1"/>
    <col min="10246" max="10246" width="3.84375" style="650" customWidth="1"/>
    <col min="10247" max="10247" width="13.3828125" style="650" customWidth="1"/>
    <col min="10248" max="10248" width="11.84375" style="650" customWidth="1"/>
    <col min="10249" max="10496" width="8.69140625" style="650"/>
    <col min="10497" max="10497" width="22.84375" style="650" customWidth="1"/>
    <col min="10498" max="10499" width="10.69140625" style="650" customWidth="1"/>
    <col min="10500" max="10500" width="15.15234375" style="650" customWidth="1"/>
    <col min="10501" max="10501" width="22.69140625" style="650" customWidth="1"/>
    <col min="10502" max="10502" width="3.84375" style="650" customWidth="1"/>
    <col min="10503" max="10503" width="13.3828125" style="650" customWidth="1"/>
    <col min="10504" max="10504" width="11.84375" style="650" customWidth="1"/>
    <col min="10505" max="10752" width="8.69140625" style="650"/>
    <col min="10753" max="10753" width="22.84375" style="650" customWidth="1"/>
    <col min="10754" max="10755" width="10.69140625" style="650" customWidth="1"/>
    <col min="10756" max="10756" width="15.15234375" style="650" customWidth="1"/>
    <col min="10757" max="10757" width="22.69140625" style="650" customWidth="1"/>
    <col min="10758" max="10758" width="3.84375" style="650" customWidth="1"/>
    <col min="10759" max="10759" width="13.3828125" style="650" customWidth="1"/>
    <col min="10760" max="10760" width="11.84375" style="650" customWidth="1"/>
    <col min="10761" max="11008" width="8.69140625" style="650"/>
    <col min="11009" max="11009" width="22.84375" style="650" customWidth="1"/>
    <col min="11010" max="11011" width="10.69140625" style="650" customWidth="1"/>
    <col min="11012" max="11012" width="15.15234375" style="650" customWidth="1"/>
    <col min="11013" max="11013" width="22.69140625" style="650" customWidth="1"/>
    <col min="11014" max="11014" width="3.84375" style="650" customWidth="1"/>
    <col min="11015" max="11015" width="13.3828125" style="650" customWidth="1"/>
    <col min="11016" max="11016" width="11.84375" style="650" customWidth="1"/>
    <col min="11017" max="11264" width="8.69140625" style="650"/>
    <col min="11265" max="11265" width="22.84375" style="650" customWidth="1"/>
    <col min="11266" max="11267" width="10.69140625" style="650" customWidth="1"/>
    <col min="11268" max="11268" width="15.15234375" style="650" customWidth="1"/>
    <col min="11269" max="11269" width="22.69140625" style="650" customWidth="1"/>
    <col min="11270" max="11270" width="3.84375" style="650" customWidth="1"/>
    <col min="11271" max="11271" width="13.3828125" style="650" customWidth="1"/>
    <col min="11272" max="11272" width="11.84375" style="650" customWidth="1"/>
    <col min="11273" max="11520" width="8.69140625" style="650"/>
    <col min="11521" max="11521" width="22.84375" style="650" customWidth="1"/>
    <col min="11522" max="11523" width="10.69140625" style="650" customWidth="1"/>
    <col min="11524" max="11524" width="15.15234375" style="650" customWidth="1"/>
    <col min="11525" max="11525" width="22.69140625" style="650" customWidth="1"/>
    <col min="11526" max="11526" width="3.84375" style="650" customWidth="1"/>
    <col min="11527" max="11527" width="13.3828125" style="650" customWidth="1"/>
    <col min="11528" max="11528" width="11.84375" style="650" customWidth="1"/>
    <col min="11529" max="11776" width="8.69140625" style="650"/>
    <col min="11777" max="11777" width="22.84375" style="650" customWidth="1"/>
    <col min="11778" max="11779" width="10.69140625" style="650" customWidth="1"/>
    <col min="11780" max="11780" width="15.15234375" style="650" customWidth="1"/>
    <col min="11781" max="11781" width="22.69140625" style="650" customWidth="1"/>
    <col min="11782" max="11782" width="3.84375" style="650" customWidth="1"/>
    <col min="11783" max="11783" width="13.3828125" style="650" customWidth="1"/>
    <col min="11784" max="11784" width="11.84375" style="650" customWidth="1"/>
    <col min="11785" max="12032" width="8.69140625" style="650"/>
    <col min="12033" max="12033" width="22.84375" style="650" customWidth="1"/>
    <col min="12034" max="12035" width="10.69140625" style="650" customWidth="1"/>
    <col min="12036" max="12036" width="15.15234375" style="650" customWidth="1"/>
    <col min="12037" max="12037" width="22.69140625" style="650" customWidth="1"/>
    <col min="12038" max="12038" width="3.84375" style="650" customWidth="1"/>
    <col min="12039" max="12039" width="13.3828125" style="650" customWidth="1"/>
    <col min="12040" max="12040" width="11.84375" style="650" customWidth="1"/>
    <col min="12041" max="12288" width="8.69140625" style="650"/>
    <col min="12289" max="12289" width="22.84375" style="650" customWidth="1"/>
    <col min="12290" max="12291" width="10.69140625" style="650" customWidth="1"/>
    <col min="12292" max="12292" width="15.15234375" style="650" customWidth="1"/>
    <col min="12293" max="12293" width="22.69140625" style="650" customWidth="1"/>
    <col min="12294" max="12294" width="3.84375" style="650" customWidth="1"/>
    <col min="12295" max="12295" width="13.3828125" style="650" customWidth="1"/>
    <col min="12296" max="12296" width="11.84375" style="650" customWidth="1"/>
    <col min="12297" max="12544" width="8.69140625" style="650"/>
    <col min="12545" max="12545" width="22.84375" style="650" customWidth="1"/>
    <col min="12546" max="12547" width="10.69140625" style="650" customWidth="1"/>
    <col min="12548" max="12548" width="15.15234375" style="650" customWidth="1"/>
    <col min="12549" max="12549" width="22.69140625" style="650" customWidth="1"/>
    <col min="12550" max="12550" width="3.84375" style="650" customWidth="1"/>
    <col min="12551" max="12551" width="13.3828125" style="650" customWidth="1"/>
    <col min="12552" max="12552" width="11.84375" style="650" customWidth="1"/>
    <col min="12553" max="12800" width="8.69140625" style="650"/>
    <col min="12801" max="12801" width="22.84375" style="650" customWidth="1"/>
    <col min="12802" max="12803" width="10.69140625" style="650" customWidth="1"/>
    <col min="12804" max="12804" width="15.15234375" style="650" customWidth="1"/>
    <col min="12805" max="12805" width="22.69140625" style="650" customWidth="1"/>
    <col min="12806" max="12806" width="3.84375" style="650" customWidth="1"/>
    <col min="12807" max="12807" width="13.3828125" style="650" customWidth="1"/>
    <col min="12808" max="12808" width="11.84375" style="650" customWidth="1"/>
    <col min="12809" max="13056" width="8.69140625" style="650"/>
    <col min="13057" max="13057" width="22.84375" style="650" customWidth="1"/>
    <col min="13058" max="13059" width="10.69140625" style="650" customWidth="1"/>
    <col min="13060" max="13060" width="15.15234375" style="650" customWidth="1"/>
    <col min="13061" max="13061" width="22.69140625" style="650" customWidth="1"/>
    <col min="13062" max="13062" width="3.84375" style="650" customWidth="1"/>
    <col min="13063" max="13063" width="13.3828125" style="650" customWidth="1"/>
    <col min="13064" max="13064" width="11.84375" style="650" customWidth="1"/>
    <col min="13065" max="13312" width="8.69140625" style="650"/>
    <col min="13313" max="13313" width="22.84375" style="650" customWidth="1"/>
    <col min="13314" max="13315" width="10.69140625" style="650" customWidth="1"/>
    <col min="13316" max="13316" width="15.15234375" style="650" customWidth="1"/>
    <col min="13317" max="13317" width="22.69140625" style="650" customWidth="1"/>
    <col min="13318" max="13318" width="3.84375" style="650" customWidth="1"/>
    <col min="13319" max="13319" width="13.3828125" style="650" customWidth="1"/>
    <col min="13320" max="13320" width="11.84375" style="650" customWidth="1"/>
    <col min="13321" max="13568" width="8.69140625" style="650"/>
    <col min="13569" max="13569" width="22.84375" style="650" customWidth="1"/>
    <col min="13570" max="13571" width="10.69140625" style="650" customWidth="1"/>
    <col min="13572" max="13572" width="15.15234375" style="650" customWidth="1"/>
    <col min="13573" max="13573" width="22.69140625" style="650" customWidth="1"/>
    <col min="13574" max="13574" width="3.84375" style="650" customWidth="1"/>
    <col min="13575" max="13575" width="13.3828125" style="650" customWidth="1"/>
    <col min="13576" max="13576" width="11.84375" style="650" customWidth="1"/>
    <col min="13577" max="13824" width="8.69140625" style="650"/>
    <col min="13825" max="13825" width="22.84375" style="650" customWidth="1"/>
    <col min="13826" max="13827" width="10.69140625" style="650" customWidth="1"/>
    <col min="13828" max="13828" width="15.15234375" style="650" customWidth="1"/>
    <col min="13829" max="13829" width="22.69140625" style="650" customWidth="1"/>
    <col min="13830" max="13830" width="3.84375" style="650" customWidth="1"/>
    <col min="13831" max="13831" width="13.3828125" style="650" customWidth="1"/>
    <col min="13832" max="13832" width="11.84375" style="650" customWidth="1"/>
    <col min="13833" max="14080" width="8.69140625" style="650"/>
    <col min="14081" max="14081" width="22.84375" style="650" customWidth="1"/>
    <col min="14082" max="14083" width="10.69140625" style="650" customWidth="1"/>
    <col min="14084" max="14084" width="15.15234375" style="650" customWidth="1"/>
    <col min="14085" max="14085" width="22.69140625" style="650" customWidth="1"/>
    <col min="14086" max="14086" width="3.84375" style="650" customWidth="1"/>
    <col min="14087" max="14087" width="13.3828125" style="650" customWidth="1"/>
    <col min="14088" max="14088" width="11.84375" style="650" customWidth="1"/>
    <col min="14089" max="14336" width="8.69140625" style="650"/>
    <col min="14337" max="14337" width="22.84375" style="650" customWidth="1"/>
    <col min="14338" max="14339" width="10.69140625" style="650" customWidth="1"/>
    <col min="14340" max="14340" width="15.15234375" style="650" customWidth="1"/>
    <col min="14341" max="14341" width="22.69140625" style="650" customWidth="1"/>
    <col min="14342" max="14342" width="3.84375" style="650" customWidth="1"/>
    <col min="14343" max="14343" width="13.3828125" style="650" customWidth="1"/>
    <col min="14344" max="14344" width="11.84375" style="650" customWidth="1"/>
    <col min="14345" max="14592" width="8.69140625" style="650"/>
    <col min="14593" max="14593" width="22.84375" style="650" customWidth="1"/>
    <col min="14594" max="14595" width="10.69140625" style="650" customWidth="1"/>
    <col min="14596" max="14596" width="15.15234375" style="650" customWidth="1"/>
    <col min="14597" max="14597" width="22.69140625" style="650" customWidth="1"/>
    <col min="14598" max="14598" width="3.84375" style="650" customWidth="1"/>
    <col min="14599" max="14599" width="13.3828125" style="650" customWidth="1"/>
    <col min="14600" max="14600" width="11.84375" style="650" customWidth="1"/>
    <col min="14601" max="14848" width="8.69140625" style="650"/>
    <col min="14849" max="14849" width="22.84375" style="650" customWidth="1"/>
    <col min="14850" max="14851" width="10.69140625" style="650" customWidth="1"/>
    <col min="14852" max="14852" width="15.15234375" style="650" customWidth="1"/>
    <col min="14853" max="14853" width="22.69140625" style="650" customWidth="1"/>
    <col min="14854" max="14854" width="3.84375" style="650" customWidth="1"/>
    <col min="14855" max="14855" width="13.3828125" style="650" customWidth="1"/>
    <col min="14856" max="14856" width="11.84375" style="650" customWidth="1"/>
    <col min="14857" max="15104" width="8.69140625" style="650"/>
    <col min="15105" max="15105" width="22.84375" style="650" customWidth="1"/>
    <col min="15106" max="15107" width="10.69140625" style="650" customWidth="1"/>
    <col min="15108" max="15108" width="15.15234375" style="650" customWidth="1"/>
    <col min="15109" max="15109" width="22.69140625" style="650" customWidth="1"/>
    <col min="15110" max="15110" width="3.84375" style="650" customWidth="1"/>
    <col min="15111" max="15111" width="13.3828125" style="650" customWidth="1"/>
    <col min="15112" max="15112" width="11.84375" style="650" customWidth="1"/>
    <col min="15113" max="15360" width="8.69140625" style="650"/>
    <col min="15361" max="15361" width="22.84375" style="650" customWidth="1"/>
    <col min="15362" max="15363" width="10.69140625" style="650" customWidth="1"/>
    <col min="15364" max="15364" width="15.15234375" style="650" customWidth="1"/>
    <col min="15365" max="15365" width="22.69140625" style="650" customWidth="1"/>
    <col min="15366" max="15366" width="3.84375" style="650" customWidth="1"/>
    <col min="15367" max="15367" width="13.3828125" style="650" customWidth="1"/>
    <col min="15368" max="15368" width="11.84375" style="650" customWidth="1"/>
    <col min="15369" max="15616" width="8.69140625" style="650"/>
    <col min="15617" max="15617" width="22.84375" style="650" customWidth="1"/>
    <col min="15618" max="15619" width="10.69140625" style="650" customWidth="1"/>
    <col min="15620" max="15620" width="15.15234375" style="650" customWidth="1"/>
    <col min="15621" max="15621" width="22.69140625" style="650" customWidth="1"/>
    <col min="15622" max="15622" width="3.84375" style="650" customWidth="1"/>
    <col min="15623" max="15623" width="13.3828125" style="650" customWidth="1"/>
    <col min="15624" max="15624" width="11.84375" style="650" customWidth="1"/>
    <col min="15625" max="15872" width="8.69140625" style="650"/>
    <col min="15873" max="15873" width="22.84375" style="650" customWidth="1"/>
    <col min="15874" max="15875" width="10.69140625" style="650" customWidth="1"/>
    <col min="15876" max="15876" width="15.15234375" style="650" customWidth="1"/>
    <col min="15877" max="15877" width="22.69140625" style="650" customWidth="1"/>
    <col min="15878" max="15878" width="3.84375" style="650" customWidth="1"/>
    <col min="15879" max="15879" width="13.3828125" style="650" customWidth="1"/>
    <col min="15880" max="15880" width="11.84375" style="650" customWidth="1"/>
    <col min="15881" max="16128" width="8.69140625" style="650"/>
    <col min="16129" max="16129" width="22.84375" style="650" customWidth="1"/>
    <col min="16130" max="16131" width="10.69140625" style="650" customWidth="1"/>
    <col min="16132" max="16132" width="15.15234375" style="650" customWidth="1"/>
    <col min="16133" max="16133" width="22.69140625" style="650" customWidth="1"/>
    <col min="16134" max="16134" width="3.84375" style="650" customWidth="1"/>
    <col min="16135" max="16135" width="13.3828125" style="650" customWidth="1"/>
    <col min="16136" max="16136" width="11.84375" style="650" customWidth="1"/>
    <col min="16137" max="16384" width="8.69140625" style="650"/>
  </cols>
  <sheetData>
    <row r="1" spans="1:10" s="625" customFormat="1" ht="20.149999999999999" customHeight="1">
      <c r="A1" s="900" t="s">
        <v>361</v>
      </c>
      <c r="B1" s="901"/>
      <c r="C1" s="901"/>
      <c r="D1" s="901"/>
      <c r="E1" s="901"/>
      <c r="F1" s="901"/>
      <c r="G1" s="901"/>
      <c r="H1" s="901"/>
      <c r="J1" s="626"/>
    </row>
    <row r="2" spans="1:10" s="633" customFormat="1" ht="5.6" thickBot="1">
      <c r="A2" s="627"/>
      <c r="B2" s="628"/>
      <c r="C2" s="628"/>
      <c r="D2" s="629"/>
      <c r="E2" s="630"/>
      <c r="F2" s="631"/>
      <c r="G2" s="631"/>
      <c r="H2" s="632"/>
      <c r="J2" s="634"/>
    </row>
    <row r="3" spans="1:10" s="639" customFormat="1" ht="17.149999999999999" customHeight="1" thickBot="1">
      <c r="A3" s="635" t="s">
        <v>362</v>
      </c>
      <c r="B3" s="636"/>
      <c r="C3" s="637" t="s">
        <v>363</v>
      </c>
      <c r="D3" s="638">
        <f>A6+A7+A8</f>
        <v>1210</v>
      </c>
      <c r="E3" s="902"/>
      <c r="F3" s="903"/>
      <c r="G3" s="903"/>
      <c r="H3" s="903"/>
      <c r="J3" s="640"/>
    </row>
    <row r="4" spans="1:10" s="645" customFormat="1" ht="15">
      <c r="A4" s="641" t="s">
        <v>364</v>
      </c>
      <c r="B4" s="636"/>
      <c r="C4" s="637" t="s">
        <v>365</v>
      </c>
      <c r="D4" s="642">
        <f>D3*0.4535924</f>
        <v>548.84680400000002</v>
      </c>
      <c r="E4" s="643"/>
      <c r="F4" s="644"/>
      <c r="G4" s="904">
        <v>42782</v>
      </c>
      <c r="H4" s="905"/>
      <c r="J4" s="646"/>
    </row>
    <row r="5" spans="1:10">
      <c r="A5" s="647"/>
      <c r="B5" s="648"/>
      <c r="C5" s="648"/>
      <c r="D5" s="648"/>
      <c r="E5" s="649"/>
      <c r="F5" s="648"/>
      <c r="G5" s="906"/>
      <c r="H5" s="907"/>
    </row>
    <row r="6" spans="1:10">
      <c r="A6" s="652">
        <v>1056</v>
      </c>
      <c r="B6" s="908" t="s">
        <v>366</v>
      </c>
      <c r="C6" s="909"/>
      <c r="D6" s="909"/>
      <c r="E6" s="909"/>
      <c r="F6" s="909"/>
      <c r="G6" s="909"/>
      <c r="H6" s="910"/>
      <c r="I6" s="653">
        <f>A6/2.20462262</f>
        <v>478.99354312167952</v>
      </c>
    </row>
    <row r="7" spans="1:10">
      <c r="A7" s="654">
        <v>103</v>
      </c>
      <c r="B7" s="655" t="s">
        <v>367</v>
      </c>
      <c r="C7" s="656"/>
      <c r="D7" s="656"/>
      <c r="E7" s="657"/>
      <c r="F7" s="656"/>
      <c r="G7" s="658"/>
      <c r="H7" s="659"/>
      <c r="I7" s="653">
        <f>A7/2.20462262</f>
        <v>46.720014149178965</v>
      </c>
    </row>
    <row r="8" spans="1:10">
      <c r="A8" s="654">
        <v>51</v>
      </c>
      <c r="B8" s="655" t="s">
        <v>368</v>
      </c>
      <c r="C8" s="656"/>
      <c r="D8" s="656"/>
      <c r="E8" s="657"/>
      <c r="F8" s="656"/>
      <c r="G8" s="658"/>
      <c r="H8" s="659"/>
      <c r="I8" s="653">
        <f>A8/2.20462262</f>
        <v>23.133210889399294</v>
      </c>
    </row>
    <row r="9" spans="1:10">
      <c r="A9" s="647"/>
      <c r="B9" s="656"/>
      <c r="C9" s="656"/>
      <c r="D9" s="656"/>
      <c r="E9" s="657"/>
      <c r="F9" s="656"/>
      <c r="G9" s="658"/>
      <c r="H9" s="659"/>
    </row>
    <row r="10" spans="1:10" ht="15.45">
      <c r="A10" s="891" t="s">
        <v>369</v>
      </c>
      <c r="B10" s="892"/>
      <c r="C10" s="892"/>
      <c r="D10" s="892"/>
      <c r="E10" s="892"/>
      <c r="F10" s="892"/>
      <c r="G10" s="892"/>
      <c r="H10" s="892"/>
    </row>
    <row r="11" spans="1:10">
      <c r="A11" s="891" t="s">
        <v>370</v>
      </c>
      <c r="B11" s="892"/>
      <c r="C11" s="892"/>
      <c r="D11" s="892"/>
      <c r="E11" s="892"/>
      <c r="F11" s="892"/>
      <c r="G11" s="892"/>
      <c r="H11" s="892"/>
    </row>
    <row r="12" spans="1:10">
      <c r="A12" s="891" t="s">
        <v>371</v>
      </c>
      <c r="B12" s="892"/>
      <c r="C12" s="892"/>
      <c r="D12" s="892"/>
      <c r="E12" s="892"/>
      <c r="F12" s="892"/>
      <c r="G12" s="892"/>
      <c r="H12" s="892"/>
    </row>
    <row r="13" spans="1:10">
      <c r="A13" s="911" t="s">
        <v>372</v>
      </c>
      <c r="B13" s="912"/>
      <c r="C13" s="912"/>
      <c r="D13" s="912"/>
      <c r="E13" s="912"/>
      <c r="F13" s="912"/>
      <c r="G13" s="912"/>
      <c r="H13" s="912"/>
    </row>
    <row r="14" spans="1:10" s="645" customFormat="1" ht="10.75" thickBot="1">
      <c r="A14" s="27"/>
      <c r="J14" s="646"/>
    </row>
    <row r="15" spans="1:10" ht="20.149999999999999" customHeight="1" thickBot="1">
      <c r="A15" s="660" t="s">
        <v>373</v>
      </c>
      <c r="B15" s="913" t="s">
        <v>374</v>
      </c>
      <c r="C15" s="914"/>
      <c r="D15" s="661" t="s">
        <v>373</v>
      </c>
      <c r="E15" s="913" t="s">
        <v>374</v>
      </c>
      <c r="F15" s="914"/>
      <c r="G15" s="660" t="s">
        <v>375</v>
      </c>
      <c r="H15" s="662"/>
      <c r="I15" s="651"/>
    </row>
    <row r="16" spans="1:10" ht="20.149999999999999" customHeight="1">
      <c r="A16" s="663" t="s">
        <v>376</v>
      </c>
      <c r="B16" s="664" t="s">
        <v>377</v>
      </c>
      <c r="C16" s="665"/>
      <c r="D16" s="666" t="s">
        <v>378</v>
      </c>
      <c r="E16" s="667" t="s">
        <v>379</v>
      </c>
      <c r="F16" s="668"/>
      <c r="G16" s="669" t="s">
        <v>380</v>
      </c>
      <c r="H16" s="670"/>
      <c r="I16" s="651"/>
    </row>
    <row r="17" spans="1:8" ht="20.149999999999999" customHeight="1">
      <c r="A17" s="663" t="s">
        <v>381</v>
      </c>
      <c r="B17" s="664" t="s">
        <v>382</v>
      </c>
      <c r="C17" s="665"/>
      <c r="D17" s="666" t="s">
        <v>383</v>
      </c>
      <c r="E17" s="667" t="s">
        <v>384</v>
      </c>
      <c r="F17" s="668"/>
      <c r="G17" s="669" t="s">
        <v>385</v>
      </c>
      <c r="H17" s="671">
        <v>2017</v>
      </c>
    </row>
    <row r="18" spans="1:8" ht="20.149999999999999" customHeight="1">
      <c r="A18" s="663" t="s">
        <v>386</v>
      </c>
      <c r="B18" s="664" t="s">
        <v>387</v>
      </c>
      <c r="C18" s="665"/>
      <c r="D18" s="666" t="s">
        <v>383</v>
      </c>
      <c r="E18" s="667"/>
      <c r="F18" s="668"/>
      <c r="G18" s="672"/>
      <c r="H18" s="670"/>
    </row>
    <row r="19" spans="1:8" ht="20.149999999999999" customHeight="1">
      <c r="A19" s="663" t="s">
        <v>388</v>
      </c>
      <c r="B19" s="664" t="s">
        <v>122</v>
      </c>
      <c r="C19" s="665"/>
      <c r="D19" s="666" t="s">
        <v>389</v>
      </c>
      <c r="E19" s="667"/>
      <c r="F19" s="668"/>
      <c r="G19" s="673"/>
      <c r="H19" s="670"/>
    </row>
    <row r="20" spans="1:8" ht="20.149999999999999" customHeight="1">
      <c r="A20" s="663" t="s">
        <v>390</v>
      </c>
      <c r="B20" s="664" t="s">
        <v>391</v>
      </c>
      <c r="C20" s="665"/>
      <c r="D20" s="674" t="s">
        <v>392</v>
      </c>
      <c r="E20" s="667" t="s">
        <v>384</v>
      </c>
      <c r="F20" s="668"/>
      <c r="G20" s="666"/>
      <c r="H20" s="675"/>
    </row>
    <row r="21" spans="1:8" ht="20.149999999999999" customHeight="1">
      <c r="A21" s="663" t="s">
        <v>393</v>
      </c>
      <c r="B21" s="664" t="s">
        <v>394</v>
      </c>
      <c r="C21" s="665"/>
      <c r="D21" s="669" t="s">
        <v>395</v>
      </c>
      <c r="E21" s="667" t="s">
        <v>111</v>
      </c>
      <c r="F21" s="668"/>
      <c r="G21" s="666" t="s">
        <v>396</v>
      </c>
      <c r="H21" s="676" t="s">
        <v>64</v>
      </c>
    </row>
    <row r="22" spans="1:8" ht="20.149999999999999" customHeight="1">
      <c r="A22" s="663" t="s">
        <v>397</v>
      </c>
      <c r="B22" s="664" t="s">
        <v>398</v>
      </c>
      <c r="C22" s="665"/>
      <c r="D22" s="666" t="s">
        <v>399</v>
      </c>
      <c r="E22" s="667" t="s">
        <v>400</v>
      </c>
      <c r="F22" s="668"/>
      <c r="G22" s="666"/>
      <c r="H22" s="675"/>
    </row>
    <row r="23" spans="1:8" ht="20.149999999999999" customHeight="1">
      <c r="A23" s="677" t="s">
        <v>401</v>
      </c>
      <c r="B23" s="664" t="s">
        <v>402</v>
      </c>
      <c r="C23" s="671">
        <v>2017</v>
      </c>
      <c r="D23" s="666" t="s">
        <v>403</v>
      </c>
      <c r="E23" s="667" t="s">
        <v>404</v>
      </c>
      <c r="F23" s="668"/>
      <c r="G23" s="666"/>
      <c r="H23" s="675"/>
    </row>
    <row r="24" spans="1:8" ht="20.149999999999999" customHeight="1">
      <c r="A24" s="669" t="s">
        <v>405</v>
      </c>
      <c r="B24" s="678"/>
      <c r="C24" s="671"/>
      <c r="D24" s="669" t="s">
        <v>406</v>
      </c>
      <c r="E24" s="667" t="s">
        <v>407</v>
      </c>
      <c r="F24" s="668"/>
      <c r="G24" s="666"/>
      <c r="H24" s="675"/>
    </row>
    <row r="25" spans="1:8" ht="20.149999999999999" customHeight="1">
      <c r="A25" s="669" t="s">
        <v>408</v>
      </c>
      <c r="B25" s="678"/>
      <c r="C25" s="665"/>
      <c r="D25" s="669" t="s">
        <v>409</v>
      </c>
      <c r="E25" s="667" t="s">
        <v>391</v>
      </c>
      <c r="F25" s="668"/>
      <c r="G25" s="666"/>
      <c r="H25" s="675"/>
    </row>
    <row r="26" spans="1:8" ht="20.149999999999999" customHeight="1">
      <c r="A26" s="669" t="s">
        <v>410</v>
      </c>
      <c r="B26" s="678"/>
      <c r="C26" s="665"/>
      <c r="D26" s="669" t="s">
        <v>411</v>
      </c>
      <c r="E26" s="679">
        <v>2</v>
      </c>
      <c r="F26" s="668"/>
      <c r="G26" s="666"/>
      <c r="H26" s="675"/>
    </row>
    <row r="27" spans="1:8" ht="20.149999999999999" customHeight="1">
      <c r="A27" s="669" t="s">
        <v>412</v>
      </c>
      <c r="B27" s="678"/>
      <c r="C27" s="665"/>
      <c r="D27" s="669" t="s">
        <v>413</v>
      </c>
      <c r="E27" s="678" t="s">
        <v>122</v>
      </c>
      <c r="F27" s="668"/>
      <c r="G27" s="666"/>
      <c r="H27" s="675"/>
    </row>
    <row r="28" spans="1:8" ht="20.149999999999999" customHeight="1">
      <c r="A28" s="669" t="s">
        <v>414</v>
      </c>
      <c r="B28" s="667" t="s">
        <v>415</v>
      </c>
      <c r="C28" s="665"/>
      <c r="D28" s="669" t="s">
        <v>416</v>
      </c>
      <c r="E28" s="678" t="s">
        <v>122</v>
      </c>
      <c r="F28" s="668"/>
      <c r="G28" s="666"/>
      <c r="H28" s="675"/>
    </row>
    <row r="29" spans="1:8" ht="20.149999999999999" customHeight="1">
      <c r="A29" s="669" t="s">
        <v>417</v>
      </c>
      <c r="B29" s="678"/>
      <c r="C29" s="665"/>
      <c r="D29" s="669" t="s">
        <v>418</v>
      </c>
      <c r="E29" s="678" t="s">
        <v>122</v>
      </c>
      <c r="F29" s="668"/>
      <c r="G29" s="666"/>
      <c r="H29" s="675"/>
    </row>
    <row r="30" spans="1:8" ht="20.149999999999999" customHeight="1">
      <c r="A30" s="666" t="s">
        <v>419</v>
      </c>
      <c r="B30" s="678"/>
      <c r="C30" s="665"/>
      <c r="D30" s="669" t="s">
        <v>420</v>
      </c>
      <c r="E30" s="678" t="s">
        <v>122</v>
      </c>
      <c r="F30" s="668"/>
      <c r="G30" s="666"/>
      <c r="H30" s="675"/>
    </row>
    <row r="31" spans="1:8" ht="20.149999999999999" customHeight="1">
      <c r="A31" s="669" t="s">
        <v>421</v>
      </c>
      <c r="B31" s="678"/>
      <c r="C31" s="665"/>
      <c r="D31" s="669" t="s">
        <v>422</v>
      </c>
      <c r="E31" s="678" t="s">
        <v>122</v>
      </c>
      <c r="F31" s="668"/>
      <c r="G31" s="666"/>
      <c r="H31" s="675"/>
    </row>
    <row r="32" spans="1:8" ht="20.149999999999999" customHeight="1">
      <c r="A32" s="669" t="s">
        <v>423</v>
      </c>
      <c r="B32" s="678"/>
      <c r="C32" s="665"/>
      <c r="D32" s="669" t="s">
        <v>424</v>
      </c>
      <c r="E32" s="678" t="s">
        <v>122</v>
      </c>
      <c r="F32" s="668"/>
      <c r="G32" s="666"/>
      <c r="H32" s="675"/>
    </row>
    <row r="33" spans="1:10" ht="20.149999999999999" customHeight="1">
      <c r="A33" s="669" t="s">
        <v>425</v>
      </c>
      <c r="B33" s="678"/>
      <c r="C33" s="665"/>
      <c r="D33" s="669" t="s">
        <v>426</v>
      </c>
      <c r="E33" s="678" t="s">
        <v>122</v>
      </c>
      <c r="F33" s="668"/>
      <c r="G33" s="666"/>
      <c r="H33" s="675"/>
    </row>
    <row r="34" spans="1:10" ht="20.149999999999999" customHeight="1">
      <c r="A34" s="669" t="s">
        <v>427</v>
      </c>
      <c r="B34" s="678"/>
      <c r="C34" s="665"/>
      <c r="D34" s="669" t="s">
        <v>428</v>
      </c>
      <c r="E34" s="678" t="s">
        <v>122</v>
      </c>
      <c r="F34" s="668"/>
      <c r="G34" s="666"/>
      <c r="H34" s="675"/>
    </row>
    <row r="35" spans="1:10" ht="20.149999999999999" customHeight="1">
      <c r="A35" s="663" t="s">
        <v>429</v>
      </c>
      <c r="B35" s="680" t="s">
        <v>430</v>
      </c>
      <c r="C35" s="665"/>
      <c r="D35" s="669" t="s">
        <v>431</v>
      </c>
      <c r="E35" s="678" t="s">
        <v>122</v>
      </c>
      <c r="F35" s="668"/>
      <c r="G35" s="666"/>
      <c r="H35" s="675"/>
      <c r="I35" s="681"/>
    </row>
    <row r="36" spans="1:10" ht="20.149999999999999" customHeight="1">
      <c r="A36" s="663" t="s">
        <v>432</v>
      </c>
      <c r="B36" s="682" t="s">
        <v>433</v>
      </c>
      <c r="C36" s="665"/>
      <c r="D36" s="669" t="s">
        <v>434</v>
      </c>
      <c r="E36" s="678" t="s">
        <v>122</v>
      </c>
      <c r="F36" s="668"/>
      <c r="G36" s="666"/>
      <c r="H36" s="675"/>
      <c r="I36" s="681"/>
    </row>
    <row r="37" spans="1:10" ht="20.149999999999999" customHeight="1">
      <c r="A37" s="663" t="s">
        <v>435</v>
      </c>
      <c r="B37" s="682" t="s">
        <v>436</v>
      </c>
      <c r="C37" s="678"/>
      <c r="D37" s="669" t="s">
        <v>437</v>
      </c>
      <c r="E37" s="678" t="s">
        <v>122</v>
      </c>
      <c r="F37" s="668"/>
      <c r="G37" s="666"/>
      <c r="H37" s="683"/>
      <c r="I37" s="684"/>
    </row>
    <row r="38" spans="1:10" ht="20.149999999999999" customHeight="1" thickBot="1">
      <c r="A38" s="685" t="s">
        <v>438</v>
      </c>
      <c r="B38" s="686"/>
      <c r="C38" s="687"/>
      <c r="D38" s="688" t="s">
        <v>439</v>
      </c>
      <c r="E38" s="687" t="s">
        <v>122</v>
      </c>
      <c r="F38" s="689"/>
      <c r="G38" s="690"/>
      <c r="H38" s="691"/>
      <c r="I38" s="684"/>
    </row>
    <row r="39" spans="1:10" s="633" customFormat="1" ht="5.15">
      <c r="J39" s="634"/>
    </row>
    <row r="40" spans="1:10">
      <c r="A40" s="892" t="s">
        <v>440</v>
      </c>
      <c r="B40" s="892"/>
      <c r="C40" s="892"/>
      <c r="D40" s="892"/>
      <c r="E40" s="892"/>
      <c r="F40" s="892"/>
      <c r="G40" s="892"/>
      <c r="H40" s="892"/>
    </row>
    <row r="41" spans="1:10">
      <c r="A41" s="891" t="s">
        <v>441</v>
      </c>
      <c r="B41" s="892"/>
      <c r="C41" s="892"/>
      <c r="D41" s="892"/>
      <c r="E41" s="892"/>
      <c r="F41" s="892"/>
      <c r="G41" s="892"/>
      <c r="H41" s="892"/>
    </row>
    <row r="42" spans="1:10">
      <c r="A42" s="891" t="s">
        <v>442</v>
      </c>
      <c r="B42" s="892"/>
      <c r="C42" s="892"/>
      <c r="D42" s="892"/>
      <c r="E42" s="892"/>
      <c r="F42" s="892"/>
      <c r="G42" s="892"/>
      <c r="H42" s="892"/>
    </row>
    <row r="43" spans="1:10" s="633" customFormat="1" ht="5.15">
      <c r="A43" s="692"/>
      <c r="B43" s="692"/>
      <c r="C43" s="692"/>
      <c r="D43" s="692"/>
      <c r="E43" s="692"/>
      <c r="F43" s="692"/>
      <c r="G43" s="692"/>
      <c r="H43" s="692"/>
      <c r="J43" s="634"/>
    </row>
    <row r="44" spans="1:10">
      <c r="A44" s="893" t="s">
        <v>443</v>
      </c>
      <c r="B44" s="894"/>
      <c r="C44" s="895"/>
      <c r="D44" s="693">
        <f>D46</f>
        <v>548.84680400000002</v>
      </c>
      <c r="E44" s="694" t="s">
        <v>380</v>
      </c>
      <c r="G44" s="695" t="s">
        <v>444</v>
      </c>
      <c r="H44" s="696">
        <f>SUM(H35:H38)</f>
        <v>0</v>
      </c>
      <c r="I44" s="697">
        <f>SUM(I35:I38)</f>
        <v>0</v>
      </c>
    </row>
    <row r="45" spans="1:10" s="699" customFormat="1">
      <c r="A45" s="651"/>
      <c r="B45" s="698"/>
      <c r="C45" s="698"/>
      <c r="D45" s="653"/>
      <c r="J45" s="698"/>
    </row>
    <row r="46" spans="1:10" s="639" customFormat="1">
      <c r="A46" s="896"/>
      <c r="B46" s="897"/>
      <c r="C46" s="897"/>
      <c r="D46" s="693">
        <f>D4</f>
        <v>548.84680400000002</v>
      </c>
      <c r="E46" s="694" t="s">
        <v>445</v>
      </c>
      <c r="F46" s="645" t="s">
        <v>446</v>
      </c>
      <c r="G46" s="645" t="s">
        <v>447</v>
      </c>
      <c r="J46" s="640"/>
    </row>
    <row r="47" spans="1:10" s="633" customFormat="1">
      <c r="A47" s="640"/>
      <c r="B47" s="700"/>
      <c r="C47" s="701"/>
      <c r="D47" s="634"/>
      <c r="E47" s="702"/>
      <c r="J47" s="634"/>
    </row>
    <row r="48" spans="1:10">
      <c r="A48" s="695" t="s">
        <v>448</v>
      </c>
    </row>
    <row r="49" spans="1:10">
      <c r="A49" s="703" t="s">
        <v>449</v>
      </c>
      <c r="B49" s="898" t="s">
        <v>450</v>
      </c>
      <c r="C49" s="899"/>
      <c r="E49" s="703" t="s">
        <v>451</v>
      </c>
      <c r="F49" s="704"/>
      <c r="G49" s="705"/>
      <c r="H49" s="705"/>
    </row>
    <row r="50" spans="1:10" s="633" customFormat="1" ht="5.15">
      <c r="J50" s="634"/>
    </row>
    <row r="51" spans="1:10">
      <c r="A51" s="639"/>
      <c r="B51" s="706">
        <f>SUM(A6:A8)</f>
        <v>1210</v>
      </c>
      <c r="C51" s="890" t="s">
        <v>452</v>
      </c>
      <c r="D51" s="890"/>
      <c r="E51" s="890"/>
      <c r="F51" s="890"/>
      <c r="G51" s="890"/>
      <c r="H51" s="890"/>
    </row>
    <row r="52" spans="1:10">
      <c r="B52" s="707">
        <v>0</v>
      </c>
      <c r="C52" s="890" t="s">
        <v>453</v>
      </c>
      <c r="D52" s="890"/>
      <c r="E52" s="890"/>
      <c r="F52" s="890"/>
      <c r="G52" s="890"/>
      <c r="H52" s="890"/>
    </row>
    <row r="53" spans="1:10">
      <c r="B53" s="707">
        <v>0</v>
      </c>
      <c r="C53" s="890" t="s">
        <v>454</v>
      </c>
      <c r="D53" s="890"/>
      <c r="E53" s="890"/>
      <c r="F53" s="890"/>
      <c r="G53" s="890"/>
      <c r="H53" s="890"/>
    </row>
    <row r="54" spans="1:10">
      <c r="B54" s="707">
        <v>0</v>
      </c>
      <c r="C54" s="708" t="s">
        <v>455</v>
      </c>
      <c r="D54" s="708"/>
      <c r="E54" s="708"/>
      <c r="F54" s="708"/>
      <c r="G54" s="708"/>
      <c r="H54" s="708"/>
    </row>
    <row r="55" spans="1:10">
      <c r="B55" s="709">
        <v>0</v>
      </c>
      <c r="C55" s="710" t="s">
        <v>456</v>
      </c>
      <c r="D55" s="710"/>
      <c r="E55" s="710"/>
      <c r="F55" s="710">
        <v>0.3</v>
      </c>
      <c r="G55" s="711">
        <v>6.33</v>
      </c>
      <c r="H55" s="712" t="s">
        <v>457</v>
      </c>
    </row>
    <row r="56" spans="1:10">
      <c r="B56" s="706">
        <f>SUM(B51:B55)</f>
        <v>1210</v>
      </c>
      <c r="C56" s="708" t="s">
        <v>458</v>
      </c>
      <c r="D56" s="708"/>
      <c r="E56" s="708"/>
      <c r="F56" s="713"/>
      <c r="G56" s="714"/>
      <c r="H56" s="708"/>
    </row>
    <row r="57" spans="1:10">
      <c r="B57" s="706"/>
      <c r="C57" s="715"/>
      <c r="F57" s="713"/>
      <c r="G57" s="714"/>
    </row>
    <row r="58" spans="1:10">
      <c r="B58" s="706"/>
      <c r="C58" s="715"/>
      <c r="F58" s="713"/>
      <c r="G58" s="714"/>
    </row>
    <row r="59" spans="1:10">
      <c r="A59" s="695" t="s">
        <v>459</v>
      </c>
    </row>
    <row r="60" spans="1:10">
      <c r="A60" s="650" t="s">
        <v>460</v>
      </c>
    </row>
    <row r="61" spans="1:10">
      <c r="A61" s="650" t="s">
        <v>461</v>
      </c>
    </row>
    <row r="62" spans="1:10">
      <c r="A62" s="650" t="s">
        <v>462</v>
      </c>
    </row>
    <row r="63" spans="1:10">
      <c r="A63" s="650" t="s">
        <v>463</v>
      </c>
    </row>
    <row r="64" spans="1:10">
      <c r="A64" s="650" t="s">
        <v>464</v>
      </c>
    </row>
    <row r="65" spans="1:1">
      <c r="A65" s="650" t="s">
        <v>465</v>
      </c>
    </row>
    <row r="66" spans="1:1">
      <c r="A66" s="650" t="s">
        <v>466</v>
      </c>
    </row>
    <row r="67" spans="1:1">
      <c r="A67" s="650" t="s">
        <v>467</v>
      </c>
    </row>
    <row r="68" spans="1:1">
      <c r="A68" s="650" t="s">
        <v>468</v>
      </c>
    </row>
    <row r="69" spans="1:1">
      <c r="A69" s="650" t="s">
        <v>469</v>
      </c>
    </row>
    <row r="70" spans="1:1">
      <c r="A70" s="650" t="s">
        <v>470</v>
      </c>
    </row>
    <row r="71" spans="1:1">
      <c r="A71" s="650" t="s">
        <v>471</v>
      </c>
    </row>
    <row r="72" spans="1:1">
      <c r="A72" s="650" t="s">
        <v>472</v>
      </c>
    </row>
    <row r="74" spans="1:1">
      <c r="A74" s="650" t="s">
        <v>473</v>
      </c>
    </row>
    <row r="76" spans="1:1">
      <c r="A76" s="695" t="s">
        <v>474</v>
      </c>
    </row>
    <row r="77" spans="1:1">
      <c r="A77" s="650" t="s">
        <v>475</v>
      </c>
    </row>
    <row r="78" spans="1:1">
      <c r="A78" s="650" t="s">
        <v>476</v>
      </c>
    </row>
    <row r="79" spans="1:1">
      <c r="A79" s="650" t="s">
        <v>477</v>
      </c>
    </row>
    <row r="80" spans="1:1">
      <c r="A80" s="650" t="s">
        <v>478</v>
      </c>
    </row>
    <row r="81" spans="1:1">
      <c r="A81" s="650" t="s">
        <v>479</v>
      </c>
    </row>
    <row r="82" spans="1:1">
      <c r="A82" s="650" t="s">
        <v>480</v>
      </c>
    </row>
    <row r="83" spans="1:1">
      <c r="A83" s="650" t="s">
        <v>481</v>
      </c>
    </row>
  </sheetData>
  <mergeCells count="20">
    <mergeCell ref="A40:H40"/>
    <mergeCell ref="A1:H1"/>
    <mergeCell ref="E3:H3"/>
    <mergeCell ref="G4:H4"/>
    <mergeCell ref="G5:H5"/>
    <mergeCell ref="B6:H6"/>
    <mergeCell ref="A10:H10"/>
    <mergeCell ref="A11:H11"/>
    <mergeCell ref="A12:H12"/>
    <mergeCell ref="A13:H13"/>
    <mergeCell ref="B15:C15"/>
    <mergeCell ref="E15:F15"/>
    <mergeCell ref="C52:H52"/>
    <mergeCell ref="C53:H53"/>
    <mergeCell ref="A41:H41"/>
    <mergeCell ref="A42:H42"/>
    <mergeCell ref="A44:C44"/>
    <mergeCell ref="A46:C46"/>
    <mergeCell ref="B49:C49"/>
    <mergeCell ref="C51:H51"/>
  </mergeCells>
  <hyperlinks>
    <hyperlink ref="H55" r:id="rId1" location="specifications" display="Ref.Link" xr:uid="{00000000-0004-0000-0500-000000000000}"/>
    <hyperlink ref="C23" r:id="rId2" display="http://yra.org/yra-racing/safety-requirements/" xr:uid="{00000000-0004-0000-0500-000001000000}"/>
    <hyperlink ref="H17" r:id="rId3" display="http://yra.org/yra-racing/ocean-safety/" xr:uid="{00000000-0004-0000-0500-000002000000}"/>
  </hyperlinks>
  <printOptions horizontalCentered="1"/>
  <pageMargins left="0.511811023622047" right="0.511811023622047" top="0.511811023622047" bottom="0.511811023622047" header="0.31496062992126" footer="0.29527559055118102"/>
  <pageSetup scale="78" fitToHeight="2" orientation="portrait" r:id="rId4"/>
  <headerFooter alignWithMargins="0">
    <oddHeader>&amp;R&amp;"Arial,Bold"&amp;A</oddHeader>
    <oddFooter>&amp;L&amp;8workbook: &amp;F
worksheet: &amp;A&amp;R&amp;8bama, slackwater_sf
Page &amp;P of &amp;N</oddFooter>
  </headerFooter>
  <rowBreaks count="1" manualBreakCount="1">
    <brk id="5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0"/>
  <sheetViews>
    <sheetView workbookViewId="0">
      <selection activeCell="B15" sqref="B15:D18"/>
    </sheetView>
  </sheetViews>
  <sheetFormatPr defaultColWidth="9.15234375" defaultRowHeight="14.6"/>
  <cols>
    <col min="1" max="1" width="39.3046875" style="611" bestFit="1" customWidth="1"/>
    <col min="2" max="2" width="11.15234375" style="611" customWidth="1"/>
    <col min="3" max="3" width="7.3828125" style="611" customWidth="1"/>
    <col min="4" max="4" width="21.3828125" style="611" customWidth="1"/>
    <col min="5" max="6" width="7.53515625" style="611" hidden="1" customWidth="1"/>
    <col min="7" max="7" width="8.3828125" style="611" hidden="1" customWidth="1"/>
    <col min="8" max="8" width="5.3828125" style="611" hidden="1" customWidth="1"/>
    <col min="9" max="9" width="4.3828125" style="611" hidden="1" customWidth="1"/>
    <col min="10" max="10" width="3.53515625" style="611" customWidth="1"/>
    <col min="11" max="11" width="4.15234375" style="611" bestFit="1" customWidth="1"/>
    <col min="12" max="12" width="10.15234375" style="257" customWidth="1"/>
    <col min="13" max="13" width="9.15234375" style="257"/>
    <col min="14" max="14" width="10.15234375" style="257" customWidth="1"/>
    <col min="15" max="15" width="9.15234375" style="257"/>
    <col min="16" max="16" width="10.53515625" style="257" customWidth="1"/>
    <col min="17" max="16384" width="9.15234375" style="257"/>
  </cols>
  <sheetData>
    <row r="1" spans="1:16" ht="17.600000000000001">
      <c r="A1" s="584" t="s">
        <v>315</v>
      </c>
      <c r="B1" s="252" t="s">
        <v>316</v>
      </c>
      <c r="C1" s="252" t="s">
        <v>317</v>
      </c>
      <c r="D1" s="171"/>
      <c r="E1" s="171"/>
      <c r="F1" s="254"/>
      <c r="G1" s="254"/>
      <c r="H1" s="255"/>
      <c r="I1" s="255"/>
      <c r="J1" s="171"/>
      <c r="K1" s="20"/>
      <c r="L1" s="20"/>
      <c r="M1" s="256"/>
      <c r="N1" s="256"/>
      <c r="O1" s="256"/>
      <c r="P1" s="256"/>
    </row>
    <row r="2" spans="1:16" ht="17.600000000000001">
      <c r="A2" s="258" t="s">
        <v>318</v>
      </c>
      <c r="B2" s="259">
        <f>B29</f>
        <v>23.468112885538325</v>
      </c>
      <c r="C2" s="469">
        <f>C29</f>
        <v>252.60866435701999</v>
      </c>
      <c r="D2" s="261"/>
      <c r="E2" s="261"/>
      <c r="F2" s="261"/>
      <c r="G2" s="31"/>
      <c r="H2" s="32"/>
      <c r="I2" s="32"/>
      <c r="J2" s="32"/>
      <c r="K2" s="32"/>
      <c r="L2" s="5"/>
      <c r="M2" s="32"/>
      <c r="N2" s="32"/>
      <c r="O2" s="116"/>
      <c r="P2" s="116"/>
    </row>
    <row r="3" spans="1:16" s="264" customFormat="1" ht="14.15">
      <c r="A3" s="585"/>
      <c r="B3" s="586"/>
      <c r="C3" s="31"/>
      <c r="D3" s="261"/>
      <c r="E3" s="31"/>
      <c r="F3" s="32"/>
      <c r="G3" s="32"/>
      <c r="H3" s="32"/>
      <c r="I3" s="32"/>
      <c r="J3" s="5"/>
      <c r="K3" s="32"/>
      <c r="L3" s="32"/>
      <c r="M3" s="116"/>
      <c r="N3" s="116"/>
      <c r="O3" s="116"/>
      <c r="P3" s="263"/>
    </row>
    <row r="4" spans="1:16" s="264" customFormat="1" ht="15.45">
      <c r="A4" s="265" t="s">
        <v>199</v>
      </c>
      <c r="B4" s="31"/>
      <c r="C4" s="31"/>
      <c r="D4" s="261"/>
      <c r="E4" s="31"/>
      <c r="F4" s="32"/>
      <c r="G4" s="32"/>
      <c r="H4" s="32"/>
      <c r="I4" s="32"/>
      <c r="J4" s="5"/>
      <c r="K4" s="32"/>
      <c r="L4" s="32"/>
      <c r="M4" s="116"/>
      <c r="N4" s="116"/>
      <c r="O4" s="116"/>
      <c r="P4" s="263"/>
    </row>
    <row r="5" spans="1:16" s="264" customFormat="1" ht="14.15">
      <c r="A5" s="266" t="s">
        <v>319</v>
      </c>
      <c r="B5" s="31"/>
      <c r="C5" s="31"/>
      <c r="D5" s="261"/>
      <c r="E5" s="31"/>
      <c r="F5" s="32"/>
      <c r="G5" s="32"/>
      <c r="H5" s="32"/>
      <c r="I5" s="32"/>
      <c r="J5" s="5"/>
      <c r="K5" s="32"/>
      <c r="L5" s="32"/>
      <c r="M5" s="116"/>
      <c r="N5" s="116"/>
      <c r="O5" s="116"/>
      <c r="P5" s="263"/>
    </row>
    <row r="6" spans="1:16" s="264" customFormat="1" ht="5.15">
      <c r="A6" s="262"/>
      <c r="B6" s="31"/>
      <c r="C6" s="31"/>
      <c r="D6" s="261"/>
      <c r="E6" s="31"/>
      <c r="F6" s="32"/>
      <c r="G6" s="32"/>
      <c r="H6" s="32"/>
      <c r="I6" s="32"/>
      <c r="J6" s="5"/>
      <c r="K6" s="32"/>
      <c r="L6" s="32"/>
      <c r="M6" s="116"/>
      <c r="N6" s="116"/>
      <c r="O6" s="116"/>
      <c r="P6" s="263"/>
    </row>
    <row r="7" spans="1:16" s="264" customFormat="1" ht="14.15">
      <c r="A7" s="267" t="s">
        <v>320</v>
      </c>
      <c r="B7" s="31"/>
      <c r="C7" s="31"/>
      <c r="D7" s="261"/>
      <c r="E7" s="31"/>
      <c r="F7" s="32"/>
      <c r="G7" s="32"/>
      <c r="H7" s="32"/>
      <c r="I7" s="32"/>
      <c r="J7" s="5"/>
      <c r="K7" s="32"/>
      <c r="L7" s="32"/>
      <c r="M7" s="116"/>
      <c r="N7" s="116"/>
      <c r="O7" s="116"/>
      <c r="P7" s="263"/>
    </row>
    <row r="8" spans="1:16" s="264" customFormat="1" ht="14.15">
      <c r="A8" s="267" t="s">
        <v>321</v>
      </c>
      <c r="B8" s="31"/>
      <c r="C8" s="31"/>
      <c r="D8" s="261"/>
      <c r="E8" s="31"/>
      <c r="F8" s="32"/>
      <c r="G8" s="32"/>
      <c r="H8" s="32"/>
      <c r="I8" s="32"/>
      <c r="J8" s="267"/>
      <c r="K8" s="31"/>
      <c r="L8" s="31"/>
      <c r="M8" s="262"/>
      <c r="N8" s="31"/>
      <c r="O8" s="31"/>
      <c r="P8" s="263"/>
    </row>
    <row r="9" spans="1:16" s="264" customFormat="1" ht="10.3">
      <c r="A9" s="58"/>
      <c r="B9" s="59"/>
      <c r="C9" s="31"/>
      <c r="D9" s="261"/>
      <c r="E9" s="31"/>
      <c r="F9" s="32"/>
      <c r="G9" s="32"/>
      <c r="H9" s="32"/>
      <c r="I9" s="32"/>
      <c r="J9" s="262"/>
      <c r="K9" s="263"/>
      <c r="L9" s="263"/>
      <c r="M9" s="263"/>
      <c r="N9" s="263"/>
      <c r="O9" s="263"/>
      <c r="P9" s="263"/>
    </row>
    <row r="10" spans="1:16" s="264" customFormat="1" ht="5.15">
      <c r="B10" s="587"/>
      <c r="C10" s="31"/>
      <c r="D10" s="261"/>
      <c r="E10" s="31"/>
      <c r="F10" s="32"/>
      <c r="G10" s="32"/>
      <c r="H10" s="32"/>
      <c r="I10" s="32"/>
      <c r="J10" s="262"/>
      <c r="K10" s="263"/>
      <c r="L10" s="263"/>
      <c r="M10" s="263"/>
      <c r="N10" s="263"/>
      <c r="O10" s="263"/>
      <c r="P10" s="263"/>
    </row>
    <row r="11" spans="1:16" s="264" customFormat="1" ht="11.6">
      <c r="A11" s="267" t="s">
        <v>322</v>
      </c>
      <c r="B11" s="263"/>
      <c r="C11" s="31"/>
      <c r="D11" s="31"/>
      <c r="E11" s="31"/>
      <c r="F11" s="32"/>
      <c r="G11" s="32"/>
      <c r="H11" s="32"/>
      <c r="I11" s="32"/>
      <c r="J11" s="5"/>
      <c r="K11" s="31"/>
      <c r="L11" s="31"/>
      <c r="M11" s="262"/>
      <c r="N11" s="31"/>
      <c r="O11" s="31"/>
      <c r="P11" s="263"/>
    </row>
    <row r="12" spans="1:16" s="264" customFormat="1" ht="11.6">
      <c r="A12" s="267" t="s">
        <v>323</v>
      </c>
      <c r="B12" s="283"/>
      <c r="C12" s="31"/>
      <c r="D12" s="31"/>
      <c r="E12" s="31"/>
      <c r="F12" s="32"/>
      <c r="G12" s="32"/>
      <c r="H12" s="32"/>
      <c r="I12" s="32"/>
      <c r="J12" s="5"/>
      <c r="K12" s="277"/>
      <c r="L12" s="281"/>
      <c r="M12" s="282"/>
      <c r="N12" s="281"/>
      <c r="O12" s="281"/>
      <c r="P12" s="283"/>
    </row>
    <row r="13" spans="1:16" s="283" customFormat="1" ht="11.6">
      <c r="A13" s="267" t="s">
        <v>324</v>
      </c>
      <c r="C13" s="31"/>
      <c r="D13" s="31"/>
      <c r="E13" s="263"/>
      <c r="F13" s="32"/>
      <c r="G13" s="32"/>
      <c r="H13" s="32"/>
      <c r="I13" s="32"/>
      <c r="J13" s="262"/>
      <c r="K13" s="277"/>
      <c r="L13" s="281"/>
      <c r="M13" s="282"/>
      <c r="N13" s="281"/>
      <c r="O13" s="281"/>
    </row>
    <row r="14" spans="1:16" s="263" customFormat="1" ht="11.6">
      <c r="A14" s="267"/>
      <c r="B14" s="31"/>
      <c r="C14" s="31"/>
      <c r="D14" s="31"/>
      <c r="E14" s="31"/>
      <c r="F14" s="32"/>
      <c r="G14" s="32"/>
      <c r="H14" s="32"/>
      <c r="I14" s="32"/>
      <c r="J14" s="262"/>
      <c r="K14" s="31"/>
      <c r="L14" s="31"/>
      <c r="M14" s="262"/>
      <c r="N14" s="31"/>
      <c r="O14" s="31"/>
    </row>
    <row r="15" spans="1:16" s="264" customFormat="1" ht="5.15">
      <c r="A15" s="588"/>
      <c r="B15" s="589"/>
      <c r="C15" s="590"/>
      <c r="D15" s="5"/>
      <c r="E15" s="32"/>
      <c r="F15" s="32"/>
      <c r="G15" s="32"/>
      <c r="H15" s="32"/>
      <c r="I15" s="32"/>
      <c r="J15" s="32"/>
      <c r="K15" s="591"/>
      <c r="L15" s="591"/>
      <c r="M15" s="283"/>
      <c r="N15" s="283"/>
      <c r="O15" s="283"/>
      <c r="P15" s="283"/>
    </row>
    <row r="16" spans="1:16" ht="12.45">
      <c r="A16" s="299" t="s">
        <v>210</v>
      </c>
      <c r="B16" s="300"/>
      <c r="C16" s="301"/>
      <c r="D16" s="40"/>
      <c r="E16" s="409" t="s">
        <v>282</v>
      </c>
      <c r="F16" s="40"/>
      <c r="G16" s="40"/>
      <c r="H16" s="40"/>
      <c r="I16" s="40"/>
      <c r="J16" s="40"/>
      <c r="K16" s="40"/>
      <c r="L16" s="18"/>
      <c r="M16" s="256"/>
      <c r="N16" s="256"/>
      <c r="O16" s="256"/>
      <c r="P16" s="256"/>
    </row>
    <row r="17" spans="1:16" ht="15.45">
      <c r="A17" s="304" t="s">
        <v>325</v>
      </c>
      <c r="B17" s="592">
        <v>8.9920000000000009</v>
      </c>
      <c r="C17" s="306">
        <f>B17*3.2808399</f>
        <v>29.501312380800005</v>
      </c>
      <c r="D17" s="307"/>
      <c r="E17" s="310">
        <v>250</v>
      </c>
      <c r="F17" s="311"/>
      <c r="G17" s="409" t="s">
        <v>326</v>
      </c>
      <c r="H17" s="409" t="s">
        <v>327</v>
      </c>
      <c r="I17" s="409" t="s">
        <v>328</v>
      </c>
      <c r="J17" s="40"/>
      <c r="K17" s="40"/>
      <c r="L17" s="18"/>
      <c r="M17" s="256"/>
      <c r="N17" s="256"/>
      <c r="O17" s="256"/>
      <c r="P17" s="256"/>
    </row>
    <row r="18" spans="1:16" ht="15.45">
      <c r="A18" s="314" t="s">
        <v>329</v>
      </c>
      <c r="B18" s="593">
        <v>9.2959999999999994</v>
      </c>
      <c r="C18" s="316">
        <f>B18*3.2808399</f>
        <v>30.498687710399999</v>
      </c>
      <c r="D18" s="317"/>
      <c r="E18" s="310">
        <f>B18*$E$17/$B$17</f>
        <v>258.45195729537363</v>
      </c>
      <c r="F18" s="40"/>
      <c r="G18" s="310">
        <v>127.3355</v>
      </c>
      <c r="H18" s="150">
        <v>-67.975999999999999</v>
      </c>
      <c r="I18" s="119">
        <f>H18+90</f>
        <v>22.024000000000001</v>
      </c>
      <c r="J18" s="40"/>
      <c r="K18" s="40"/>
      <c r="L18" s="18"/>
      <c r="M18" s="256"/>
      <c r="N18" s="256"/>
      <c r="O18" s="256"/>
      <c r="P18" s="256"/>
    </row>
    <row r="19" spans="1:16" ht="15.45">
      <c r="A19" s="321" t="s">
        <v>330</v>
      </c>
      <c r="B19" s="594">
        <v>3.5049999999999999</v>
      </c>
      <c r="C19" s="323">
        <f>B19*3.2808399</f>
        <v>11.499343849500001</v>
      </c>
      <c r="D19" s="595"/>
      <c r="E19" s="310">
        <f>B19*$E$17/$B$17</f>
        <v>97.447731316725964</v>
      </c>
      <c r="F19" s="320"/>
      <c r="G19" s="320"/>
      <c r="H19" s="327"/>
      <c r="I19" s="327"/>
      <c r="J19" s="12"/>
      <c r="K19" s="40"/>
      <c r="L19" s="18"/>
      <c r="M19" s="256"/>
      <c r="N19" s="256"/>
      <c r="O19" s="256"/>
      <c r="P19" s="256"/>
    </row>
    <row r="20" spans="1:16" ht="10.75">
      <c r="A20" s="299" t="s">
        <v>210</v>
      </c>
      <c r="B20" s="328"/>
      <c r="C20" s="328"/>
      <c r="D20" s="329"/>
      <c r="E20" s="329"/>
      <c r="F20" s="332"/>
      <c r="G20" s="332"/>
      <c r="H20" s="333"/>
      <c r="I20" s="333"/>
      <c r="J20" s="334"/>
      <c r="K20" s="334"/>
      <c r="L20" s="18"/>
      <c r="M20" s="256"/>
      <c r="N20" s="256"/>
      <c r="O20" s="256"/>
      <c r="P20" s="256"/>
    </row>
    <row r="21" spans="1:16" ht="12.45">
      <c r="A21" s="335" t="s">
        <v>331</v>
      </c>
      <c r="B21" s="596">
        <v>0.75900000000000001</v>
      </c>
      <c r="C21" s="150">
        <f>B21*3.2808399</f>
        <v>2.4901574841</v>
      </c>
      <c r="D21" s="20"/>
      <c r="E21" s="20"/>
      <c r="F21" s="339"/>
      <c r="G21" s="339"/>
      <c r="H21" s="119"/>
      <c r="I21" s="165"/>
      <c r="J21" s="119"/>
      <c r="K21" s="20"/>
      <c r="L21" s="20"/>
      <c r="M21" s="256"/>
      <c r="N21" s="256"/>
      <c r="O21" s="256"/>
      <c r="P21" s="256"/>
    </row>
    <row r="22" spans="1:16" ht="12.45">
      <c r="A22" s="82" t="s">
        <v>332</v>
      </c>
      <c r="B22" s="109">
        <v>1.194</v>
      </c>
      <c r="C22" s="150">
        <f>B22*3.2808399</f>
        <v>3.9173228405999998</v>
      </c>
      <c r="D22" s="597"/>
      <c r="E22" s="20"/>
      <c r="F22" s="339"/>
      <c r="G22" s="339"/>
      <c r="H22" s="119"/>
      <c r="I22" s="119"/>
      <c r="J22" s="20"/>
      <c r="K22" s="20"/>
      <c r="L22" s="20"/>
      <c r="M22" s="256"/>
      <c r="N22" s="256"/>
      <c r="O22" s="256"/>
      <c r="P22" s="256"/>
    </row>
    <row r="23" spans="1:16" ht="12.45">
      <c r="A23" s="82" t="s">
        <v>333</v>
      </c>
      <c r="B23" s="109">
        <v>1.948</v>
      </c>
      <c r="C23" s="150">
        <f>B23*3.2808399</f>
        <v>6.3910761252000006</v>
      </c>
      <c r="D23" s="20"/>
      <c r="E23" s="20"/>
      <c r="F23" s="339"/>
      <c r="G23" s="339"/>
      <c r="H23" s="119"/>
      <c r="I23" s="165"/>
      <c r="J23" s="119"/>
      <c r="K23" s="20"/>
      <c r="L23" s="20"/>
      <c r="M23" s="256"/>
      <c r="N23" s="256"/>
      <c r="O23" s="256"/>
      <c r="P23" s="256"/>
    </row>
    <row r="24" spans="1:16" ht="12.45">
      <c r="A24" s="82" t="s">
        <v>334</v>
      </c>
      <c r="B24" s="109">
        <v>2.819</v>
      </c>
      <c r="C24" s="150">
        <f>B24*3.2808399</f>
        <v>9.2486876780999996</v>
      </c>
      <c r="D24" s="40"/>
      <c r="E24" s="343"/>
      <c r="F24" s="320"/>
      <c r="G24" s="320"/>
      <c r="H24" s="327"/>
      <c r="I24" s="165"/>
      <c r="J24" s="119"/>
      <c r="K24" s="40"/>
      <c r="L24" s="18"/>
      <c r="M24" s="256"/>
      <c r="N24" s="256"/>
      <c r="O24" s="256"/>
      <c r="P24" s="256"/>
    </row>
    <row r="25" spans="1:16" ht="12.45">
      <c r="A25" s="114" t="s">
        <v>335</v>
      </c>
      <c r="B25" s="113">
        <v>3.226</v>
      </c>
      <c r="C25" s="150">
        <f>B25*3.2808399</f>
        <v>10.583989517400001</v>
      </c>
      <c r="D25" s="115"/>
      <c r="E25" s="25"/>
      <c r="F25" s="339"/>
      <c r="G25" s="347"/>
      <c r="H25" s="884"/>
      <c r="I25" s="885"/>
      <c r="J25" s="885"/>
      <c r="K25" s="598"/>
      <c r="L25" s="349"/>
      <c r="M25" s="256"/>
      <c r="N25" s="256"/>
      <c r="O25" s="256"/>
      <c r="P25" s="256"/>
    </row>
    <row r="26" spans="1:16" ht="12.45">
      <c r="A26" s="599"/>
      <c r="B26" s="600"/>
      <c r="C26" s="601"/>
      <c r="D26" s="602"/>
      <c r="E26" s="603"/>
      <c r="F26" s="352"/>
      <c r="G26" s="604"/>
      <c r="H26" s="605"/>
      <c r="I26" s="293"/>
      <c r="J26" s="293"/>
      <c r="K26" s="598"/>
      <c r="L26" s="349"/>
      <c r="M26" s="256"/>
      <c r="N26" s="256"/>
      <c r="O26" s="256"/>
      <c r="P26" s="256"/>
    </row>
    <row r="27" spans="1:16" ht="12.45">
      <c r="A27" s="606"/>
      <c r="B27" s="204"/>
      <c r="C27" s="351"/>
      <c r="D27" s="351"/>
      <c r="E27" s="351"/>
      <c r="F27" s="352"/>
      <c r="G27" s="352"/>
      <c r="H27" s="353"/>
      <c r="I27" s="353"/>
      <c r="J27" s="351"/>
      <c r="K27" s="20"/>
      <c r="L27" s="20"/>
      <c r="M27" s="256"/>
      <c r="N27" s="256"/>
      <c r="O27" s="256"/>
      <c r="P27" s="256"/>
    </row>
    <row r="28" spans="1:16" ht="14.15">
      <c r="A28" s="607"/>
      <c r="B28" s="252" t="s">
        <v>316</v>
      </c>
      <c r="C28" s="253" t="s">
        <v>336</v>
      </c>
      <c r="D28" s="171"/>
      <c r="E28" s="171"/>
      <c r="F28" s="254"/>
      <c r="G28" s="254"/>
      <c r="H28" s="255"/>
      <c r="I28" s="255"/>
      <c r="J28" s="171"/>
      <c r="K28" s="20"/>
      <c r="L28" s="20"/>
      <c r="M28" s="256"/>
      <c r="N28" s="256"/>
      <c r="O28" s="256"/>
      <c r="P28" s="256"/>
    </row>
    <row r="29" spans="1:16" ht="15.45">
      <c r="A29" s="354" t="s">
        <v>337</v>
      </c>
      <c r="B29" s="608">
        <f>B30+B45</f>
        <v>23.468112885538325</v>
      </c>
      <c r="C29" s="609">
        <f>B29*10.7639104</f>
        <v>252.60866435701999</v>
      </c>
      <c r="D29" s="610">
        <f>(C29/C36)-1</f>
        <v>5.3673813675967574E-2</v>
      </c>
      <c r="E29" s="360"/>
      <c r="F29" s="361"/>
      <c r="G29" s="362"/>
      <c r="H29" s="119"/>
      <c r="I29" s="119"/>
      <c r="J29" s="20"/>
      <c r="L29" s="363"/>
      <c r="M29" s="256"/>
      <c r="N29" s="256"/>
      <c r="O29" s="256"/>
      <c r="P29" s="256"/>
    </row>
    <row r="30" spans="1:16" ht="12.45">
      <c r="A30" s="364" t="s">
        <v>338</v>
      </c>
      <c r="B30" s="365">
        <f>(B44+B50)/2*B32+(B44+B43)/2*(B31-B32)+(B43+B42)/2*(B33-B31)+(B41+B42)/2*(B34-B33)+(B41+B40)/2*(B38-B34)</f>
        <v>22.816471930723978</v>
      </c>
      <c r="C30" s="366">
        <f>B30*10.7639104</f>
        <v>245.59445950642791</v>
      </c>
      <c r="D30" s="357"/>
      <c r="E30" s="20"/>
      <c r="F30" s="339"/>
      <c r="G30" s="339"/>
      <c r="H30" s="119"/>
      <c r="I30" s="119"/>
      <c r="J30" s="20"/>
      <c r="K30" s="20"/>
      <c r="L30" s="363"/>
      <c r="M30" s="256"/>
      <c r="N30" s="256"/>
      <c r="O30" s="256"/>
      <c r="P30" s="256"/>
    </row>
    <row r="31" spans="1:16" ht="11.6">
      <c r="A31" s="612" t="s">
        <v>339</v>
      </c>
      <c r="B31" s="370">
        <f>B38/2+(B43-B39/2)/B38*B39</f>
        <v>4.7443358742135002</v>
      </c>
      <c r="C31" s="613">
        <f>B38/2+(B43-B39/2)/B38*B39</f>
        <v>4.7443358742135002</v>
      </c>
      <c r="D31" s="372"/>
      <c r="E31" s="20"/>
      <c r="F31" s="339"/>
      <c r="G31" s="339"/>
      <c r="H31" s="119"/>
      <c r="I31" s="119"/>
      <c r="J31" s="20"/>
      <c r="K31" s="20"/>
      <c r="L31" s="363"/>
      <c r="M31" s="256"/>
      <c r="N31" s="256"/>
      <c r="O31" s="256"/>
      <c r="P31" s="256"/>
    </row>
    <row r="32" spans="1:16" ht="11.6">
      <c r="A32" s="614" t="s">
        <v>340</v>
      </c>
      <c r="B32" s="374">
        <f>B31/2+(B44-(B39+B43)/2)*(B39-B43)/B31</f>
        <v>2.3825563215265189</v>
      </c>
      <c r="C32" s="613">
        <f>B31/2+(B44-(B39+B43)/2)*(B39-B43)/B31</f>
        <v>2.3825563215265189</v>
      </c>
      <c r="D32" s="372"/>
      <c r="E32" s="20"/>
      <c r="F32" s="339"/>
      <c r="G32" s="339"/>
      <c r="H32" s="119"/>
      <c r="I32" s="119"/>
      <c r="J32" s="20"/>
      <c r="K32" s="20"/>
      <c r="L32" s="363"/>
      <c r="M32" s="256"/>
      <c r="N32" s="256"/>
      <c r="O32" s="256"/>
      <c r="P32" s="256"/>
    </row>
    <row r="33" spans="1:16" ht="11.6">
      <c r="A33" s="79" t="s">
        <v>341</v>
      </c>
      <c r="B33" s="374">
        <f>(B31+B38)/2+(B42-B43/2)*B43/(B38-B31)</f>
        <v>7.0730651429974216</v>
      </c>
      <c r="C33" s="613">
        <f>(B31+B38)/2+(B42-B43/2)*B43/(B38-B31)</f>
        <v>7.0730651429974216</v>
      </c>
      <c r="D33" s="372"/>
      <c r="E33" s="20"/>
      <c r="F33" s="339"/>
      <c r="G33" s="339"/>
      <c r="H33" s="119"/>
      <c r="I33" s="119"/>
      <c r="J33" s="20"/>
      <c r="K33" s="20"/>
      <c r="L33" s="363"/>
      <c r="M33" s="256"/>
      <c r="N33" s="256"/>
      <c r="O33" s="256"/>
      <c r="P33" s="256"/>
    </row>
    <row r="34" spans="1:16" ht="12.45">
      <c r="A34" s="112" t="s">
        <v>342</v>
      </c>
      <c r="B34" s="376">
        <f>(B33+B38)/2+(B41-B42/2)*B42/(B38-B33)</f>
        <v>8.12293905639903</v>
      </c>
      <c r="C34" s="613">
        <f>(B33+B38)/2+(B41-B42/2)*B42/(B37-B33)</f>
        <v>7.8750061173725854</v>
      </c>
      <c r="D34" s="372"/>
      <c r="E34" s="12"/>
      <c r="F34" s="339"/>
      <c r="G34" s="339"/>
      <c r="H34" s="119"/>
      <c r="I34" s="119"/>
      <c r="J34" s="20"/>
      <c r="K34" s="20"/>
      <c r="L34" s="363"/>
      <c r="M34" s="256"/>
      <c r="N34" s="256"/>
      <c r="O34" s="256"/>
      <c r="P34" s="256"/>
    </row>
    <row r="35" spans="1:16" ht="11.6">
      <c r="A35" s="378"/>
      <c r="B35" s="379"/>
      <c r="C35" s="380"/>
      <c r="D35" s="381"/>
      <c r="E35" s="20"/>
      <c r="F35" s="362"/>
      <c r="G35" s="362"/>
      <c r="H35" s="119"/>
      <c r="I35" s="119"/>
      <c r="J35" s="20"/>
      <c r="K35" s="20"/>
      <c r="L35" s="363"/>
      <c r="M35" s="256"/>
      <c r="N35" s="256"/>
      <c r="O35" s="256"/>
      <c r="P35" s="256"/>
    </row>
    <row r="36" spans="1:16" ht="15.45">
      <c r="A36" s="354" t="s">
        <v>343</v>
      </c>
      <c r="B36" s="382">
        <f>B37+B45</f>
        <v>22.272654573871179</v>
      </c>
      <c r="C36" s="609">
        <f>B36*10.7639104</f>
        <v>239.74085820329955</v>
      </c>
      <c r="D36" s="384"/>
      <c r="E36" s="20"/>
      <c r="F36" s="339"/>
      <c r="G36" s="339"/>
      <c r="H36" s="119"/>
      <c r="I36" s="386"/>
      <c r="J36" s="20"/>
      <c r="K36" s="20"/>
      <c r="L36" s="20"/>
      <c r="M36" s="256"/>
      <c r="N36" s="256"/>
      <c r="O36" s="256"/>
      <c r="P36" s="256"/>
    </row>
    <row r="37" spans="1:16" ht="12.45">
      <c r="A37" s="364" t="s">
        <v>344</v>
      </c>
      <c r="B37" s="365">
        <f>(B38/8)*(B39+2*B44+2*B43+1.5*B42+B41+0.5*B40)</f>
        <v>21.621013619056832</v>
      </c>
      <c r="C37" s="366">
        <f>B37*10.7639104</f>
        <v>232.72665335270747</v>
      </c>
      <c r="D37" s="207"/>
      <c r="E37" s="20"/>
      <c r="F37" s="339"/>
      <c r="G37" s="339"/>
      <c r="H37" s="119"/>
      <c r="I37" s="119"/>
      <c r="J37" s="20"/>
      <c r="K37" s="20"/>
      <c r="L37" s="20"/>
      <c r="M37" s="256"/>
      <c r="N37" s="256"/>
      <c r="O37" s="256"/>
      <c r="P37" s="256"/>
    </row>
    <row r="38" spans="1:16" ht="12.45">
      <c r="A38" s="388" t="s">
        <v>345</v>
      </c>
      <c r="B38" s="389">
        <f>B46</f>
        <v>8.6180301935053265</v>
      </c>
      <c r="C38" s="119">
        <f>B38*3.2808399</f>
        <v>28.274377318256999</v>
      </c>
      <c r="D38" s="390"/>
      <c r="E38" s="409" t="s">
        <v>282</v>
      </c>
      <c r="F38" s="409" t="s">
        <v>346</v>
      </c>
      <c r="G38" s="409" t="s">
        <v>326</v>
      </c>
      <c r="H38" s="409" t="s">
        <v>327</v>
      </c>
      <c r="I38" s="409" t="s">
        <v>328</v>
      </c>
      <c r="J38" s="20"/>
      <c r="K38" s="20"/>
      <c r="L38" s="20"/>
      <c r="M38" s="256"/>
      <c r="N38" s="256"/>
      <c r="O38" s="256"/>
      <c r="P38" s="256"/>
    </row>
    <row r="39" spans="1:16" ht="12.45">
      <c r="A39" s="393" t="s">
        <v>347</v>
      </c>
      <c r="B39" s="394">
        <f>B50</f>
        <v>3.4849923362656532</v>
      </c>
      <c r="C39" s="119">
        <f>B39*3.2808399</f>
        <v>11.433701908014573</v>
      </c>
      <c r="D39" s="390"/>
      <c r="E39" s="310">
        <f t="shared" ref="E39:E44" si="0">B39*$E$17/$B$17</f>
        <v>96.891468423755924</v>
      </c>
      <c r="F39" s="362"/>
      <c r="G39" s="362"/>
      <c r="H39" s="150"/>
      <c r="I39" s="119"/>
      <c r="J39" s="20"/>
      <c r="K39" s="20"/>
      <c r="L39" s="20"/>
      <c r="M39" s="256"/>
      <c r="N39" s="256"/>
      <c r="O39" s="256"/>
      <c r="P39" s="256"/>
    </row>
    <row r="40" spans="1:16" ht="12.45">
      <c r="A40" s="82" t="s">
        <v>348</v>
      </c>
      <c r="B40" s="394">
        <f>B21</f>
        <v>0.75900000000000001</v>
      </c>
      <c r="C40" s="395"/>
      <c r="D40" s="396"/>
      <c r="E40" s="310">
        <f t="shared" si="0"/>
        <v>21.102090747330958</v>
      </c>
      <c r="F40" s="310"/>
      <c r="G40" s="310"/>
      <c r="H40" s="150"/>
      <c r="I40" s="119"/>
      <c r="J40" s="20"/>
      <c r="K40" s="20"/>
      <c r="L40" s="20"/>
      <c r="M40" s="256"/>
      <c r="N40" s="256"/>
      <c r="O40" s="256"/>
      <c r="P40" s="256"/>
    </row>
    <row r="41" spans="1:16" ht="12.45">
      <c r="A41" s="82" t="s">
        <v>349</v>
      </c>
      <c r="B41" s="394">
        <f>B22</f>
        <v>1.194</v>
      </c>
      <c r="C41" s="395"/>
      <c r="D41" s="396"/>
      <c r="E41" s="310">
        <f t="shared" si="0"/>
        <v>33.196174377224196</v>
      </c>
      <c r="F41" s="310">
        <v>68.279300000000006</v>
      </c>
      <c r="G41" s="310">
        <f>F41/2</f>
        <v>34.139650000000003</v>
      </c>
      <c r="H41" s="150">
        <v>-37.89</v>
      </c>
      <c r="I41" s="119">
        <f>H41+90</f>
        <v>52.11</v>
      </c>
      <c r="J41" s="20"/>
      <c r="K41" s="20"/>
      <c r="L41" s="20"/>
      <c r="M41" s="256"/>
      <c r="N41" s="256"/>
      <c r="O41" s="256"/>
      <c r="P41" s="256"/>
    </row>
    <row r="42" spans="1:16" ht="12.45">
      <c r="A42" s="82" t="s">
        <v>350</v>
      </c>
      <c r="B42" s="394">
        <f>B23</f>
        <v>1.948</v>
      </c>
      <c r="C42" s="395"/>
      <c r="D42" s="396"/>
      <c r="E42" s="310">
        <f t="shared" si="0"/>
        <v>54.159252669039141</v>
      </c>
      <c r="F42" s="310">
        <v>131.40549999999999</v>
      </c>
      <c r="G42" s="310">
        <f>F42/2</f>
        <v>65.702749999999995</v>
      </c>
      <c r="H42" s="150">
        <v>-53.682600000000001</v>
      </c>
      <c r="I42" s="119">
        <f>H42+90</f>
        <v>36.317399999999999</v>
      </c>
      <c r="J42" s="20"/>
      <c r="K42" s="20"/>
      <c r="L42" s="20"/>
      <c r="M42" s="256"/>
      <c r="N42" s="256"/>
      <c r="O42" s="256"/>
      <c r="P42" s="256"/>
    </row>
    <row r="43" spans="1:16" ht="12.45">
      <c r="A43" s="82" t="s">
        <v>351</v>
      </c>
      <c r="B43" s="394">
        <f>B24</f>
        <v>2.819</v>
      </c>
      <c r="C43" s="395"/>
      <c r="D43" s="396"/>
      <c r="E43" s="310">
        <f t="shared" si="0"/>
        <v>78.375222419928818</v>
      </c>
      <c r="F43" s="310"/>
      <c r="G43" s="310"/>
      <c r="H43" s="150"/>
      <c r="I43" s="119"/>
      <c r="J43" s="20"/>
      <c r="K43" s="20"/>
      <c r="L43" s="20"/>
      <c r="M43" s="256"/>
      <c r="N43" s="256"/>
      <c r="O43" s="256"/>
      <c r="P43" s="256"/>
    </row>
    <row r="44" spans="1:16" ht="12.45">
      <c r="A44" s="114" t="s">
        <v>352</v>
      </c>
      <c r="B44" s="394">
        <f>B25</f>
        <v>3.226</v>
      </c>
      <c r="C44" s="395"/>
      <c r="D44" s="396"/>
      <c r="E44" s="310">
        <f t="shared" si="0"/>
        <v>89.690836298932382</v>
      </c>
      <c r="F44" s="310">
        <v>135.066</v>
      </c>
      <c r="G44" s="310">
        <f>F44/2</f>
        <v>67.533000000000001</v>
      </c>
      <c r="H44" s="150">
        <v>-81.873800000000003</v>
      </c>
      <c r="I44" s="119">
        <f>H44+90</f>
        <v>8.1261999999999972</v>
      </c>
      <c r="J44" s="20"/>
      <c r="K44" s="20"/>
      <c r="L44" s="20"/>
      <c r="M44" s="256"/>
      <c r="N44" s="256"/>
      <c r="O44" s="256"/>
      <c r="P44" s="256"/>
    </row>
    <row r="45" spans="1:16" s="617" customFormat="1" ht="13.75">
      <c r="A45" s="397" t="s">
        <v>353</v>
      </c>
      <c r="B45" s="615">
        <f>(1/2*B50*B47)+(2/3*B48*B49)</f>
        <v>0.65164095481434547</v>
      </c>
      <c r="C45" s="435">
        <f>B45*10.7639104</f>
        <v>7.0142048505920638</v>
      </c>
      <c r="D45" s="396"/>
      <c r="E45" s="25"/>
      <c r="F45" s="310"/>
      <c r="G45" s="310"/>
      <c r="H45" s="150"/>
      <c r="I45" s="150"/>
      <c r="J45" s="25"/>
      <c r="K45" s="25"/>
      <c r="L45" s="25"/>
      <c r="M45" s="616"/>
      <c r="N45" s="616"/>
      <c r="O45" s="616"/>
      <c r="P45" s="616"/>
    </row>
    <row r="46" spans="1:16" ht="11.6">
      <c r="A46" s="618" t="s">
        <v>232</v>
      </c>
      <c r="B46" s="402">
        <f>B17-B47</f>
        <v>8.6180301935053265</v>
      </c>
      <c r="C46" s="403"/>
      <c r="D46" s="396"/>
      <c r="E46" s="25"/>
      <c r="F46" s="310"/>
      <c r="G46" s="310"/>
      <c r="H46" s="150"/>
      <c r="I46" s="119"/>
      <c r="J46" s="20"/>
      <c r="K46" s="20"/>
      <c r="L46" s="165"/>
      <c r="M46" s="256"/>
      <c r="N46" s="256"/>
      <c r="O46" s="256"/>
      <c r="P46" s="256"/>
    </row>
    <row r="47" spans="1:16" ht="11.6">
      <c r="A47" s="401" t="s">
        <v>233</v>
      </c>
      <c r="B47" s="402">
        <f>(B19^2-B50^2)^0.5</f>
        <v>0.37396980649467482</v>
      </c>
      <c r="C47" s="119">
        <f>B47*3.2808399</f>
        <v>1.2269350625430084</v>
      </c>
      <c r="D47" s="396"/>
      <c r="E47" s="310">
        <f>B47*$E$17/$B$17</f>
        <v>10.397292217934686</v>
      </c>
      <c r="F47" s="310"/>
      <c r="G47" s="310"/>
      <c r="H47" s="150"/>
      <c r="I47" s="150"/>
      <c r="J47" s="25"/>
      <c r="K47" s="25"/>
      <c r="L47" s="20"/>
      <c r="M47" s="256"/>
      <c r="N47" s="256"/>
      <c r="O47" s="256"/>
      <c r="P47" s="256"/>
    </row>
    <row r="48" spans="1:16" ht="12.45">
      <c r="A48" s="406" t="s">
        <v>234</v>
      </c>
      <c r="B48" s="619">
        <f>B19</f>
        <v>3.5049999999999999</v>
      </c>
      <c r="C48" s="403"/>
      <c r="D48" s="396"/>
      <c r="E48" s="25"/>
      <c r="F48" s="310"/>
      <c r="G48" s="310"/>
      <c r="H48" s="409"/>
      <c r="I48" s="150"/>
      <c r="J48" s="25"/>
      <c r="K48" s="25"/>
      <c r="L48" s="20"/>
      <c r="M48" s="256"/>
      <c r="N48" s="256"/>
      <c r="O48" s="256"/>
      <c r="P48" s="256"/>
    </row>
    <row r="49" spans="1:16" ht="12.45">
      <c r="A49" s="406" t="s">
        <v>354</v>
      </c>
      <c r="B49" s="410">
        <v>0</v>
      </c>
      <c r="C49" s="371">
        <f>B49*3.2808399</f>
        <v>0</v>
      </c>
      <c r="D49" s="396"/>
      <c r="E49" s="25"/>
      <c r="F49" s="310"/>
      <c r="G49" s="310"/>
      <c r="H49" s="409"/>
      <c r="I49" s="150"/>
      <c r="J49" s="25"/>
      <c r="K49" s="25"/>
      <c r="L49" s="20"/>
      <c r="M49" s="256"/>
      <c r="N49" s="256"/>
      <c r="O49" s="256"/>
      <c r="P49" s="256"/>
    </row>
    <row r="50" spans="1:16" ht="12.45">
      <c r="A50" s="412" t="s">
        <v>355</v>
      </c>
      <c r="B50" s="413">
        <f>B51/B17*2</f>
        <v>3.4849923362656532</v>
      </c>
      <c r="C50" s="414">
        <f>B50*3.2808399</f>
        <v>11.433701908014573</v>
      </c>
      <c r="D50" s="415"/>
      <c r="E50" s="310">
        <f>B50*$E$17/$B$17</f>
        <v>96.891468423755924</v>
      </c>
      <c r="F50" s="310"/>
      <c r="G50" s="310"/>
      <c r="H50" s="150"/>
      <c r="I50" s="150"/>
      <c r="J50" s="25"/>
      <c r="K50" s="25"/>
      <c r="L50" s="20"/>
      <c r="M50" s="256"/>
      <c r="N50" s="256"/>
      <c r="O50" s="256"/>
      <c r="P50" s="256"/>
    </row>
    <row r="51" spans="1:16" ht="11.6">
      <c r="A51" s="417" t="s">
        <v>237</v>
      </c>
      <c r="B51" s="418">
        <f>B53</f>
        <v>15.668525543850379</v>
      </c>
      <c r="C51" s="419">
        <f>B51*10.7639104</f>
        <v>168.65460505411676</v>
      </c>
      <c r="D51" s="415"/>
      <c r="E51" s="25"/>
      <c r="F51" s="310"/>
      <c r="G51" s="310"/>
      <c r="H51" s="150"/>
      <c r="I51" s="150"/>
      <c r="J51" s="25"/>
      <c r="K51" s="25"/>
      <c r="L51" s="20"/>
      <c r="M51" s="256"/>
      <c r="N51" s="256"/>
      <c r="O51" s="256"/>
      <c r="P51" s="256"/>
    </row>
    <row r="52" spans="1:16" ht="11.6">
      <c r="A52" s="79" t="s">
        <v>238</v>
      </c>
      <c r="B52" s="421">
        <f>(B17+B18+B19)/2</f>
        <v>10.8965</v>
      </c>
      <c r="C52" s="403"/>
      <c r="D52" s="415"/>
      <c r="E52" s="25"/>
      <c r="F52" s="310"/>
      <c r="G52" s="310"/>
      <c r="H52" s="150"/>
      <c r="I52" s="150"/>
      <c r="J52" s="25"/>
      <c r="K52" s="25"/>
      <c r="L52" s="20"/>
      <c r="M52" s="256"/>
      <c r="N52" s="256"/>
      <c r="O52" s="256"/>
      <c r="P52" s="256"/>
    </row>
    <row r="53" spans="1:16" ht="11.6">
      <c r="A53" s="79" t="s">
        <v>239</v>
      </c>
      <c r="B53" s="374">
        <f>(B52*(B52-B17)*(B52-B18)*(B52-B19))^0.5</f>
        <v>15.668525543850379</v>
      </c>
      <c r="C53" s="403"/>
      <c r="D53" s="25"/>
      <c r="E53" s="25"/>
      <c r="F53" s="620"/>
      <c r="G53" s="310"/>
      <c r="H53" s="620"/>
      <c r="I53" s="150"/>
      <c r="J53" s="25"/>
      <c r="K53" s="25"/>
      <c r="L53" s="20"/>
      <c r="M53" s="256"/>
      <c r="N53" s="256"/>
      <c r="O53" s="256"/>
      <c r="P53" s="256"/>
    </row>
    <row r="54" spans="1:16" ht="11.6">
      <c r="A54" s="423" t="s">
        <v>240</v>
      </c>
      <c r="B54" s="424">
        <f>(B46*B50/((B46^2+B50^2)^0.5))</f>
        <v>3.230827149104142</v>
      </c>
      <c r="C54" s="414">
        <f>B54*3.2808399</f>
        <v>10.599826620784119</v>
      </c>
      <c r="D54" s="207"/>
      <c r="E54" s="310">
        <f>B54*$E$17/$B$17</f>
        <v>89.825043068954116</v>
      </c>
      <c r="F54" s="461"/>
      <c r="G54" s="310"/>
      <c r="H54" s="339"/>
      <c r="I54" s="150"/>
      <c r="J54" s="25"/>
      <c r="K54" s="25"/>
      <c r="L54" s="20"/>
      <c r="M54" s="256"/>
      <c r="N54" s="256"/>
      <c r="O54" s="256"/>
      <c r="P54" s="256"/>
    </row>
    <row r="55" spans="1:16" ht="11.6">
      <c r="A55" s="621" t="s">
        <v>243</v>
      </c>
      <c r="B55" s="622">
        <f>E55/E17*B17</f>
        <v>9.0404093312000011</v>
      </c>
      <c r="C55" s="433">
        <f>B55*3.2808399</f>
        <v>29.660135646133281</v>
      </c>
      <c r="D55" s="396"/>
      <c r="E55" s="310">
        <v>251.3459</v>
      </c>
      <c r="F55" s="310"/>
      <c r="G55" s="310"/>
      <c r="H55" s="150"/>
      <c r="I55" s="119"/>
      <c r="J55" s="25"/>
      <c r="K55" s="25"/>
      <c r="L55" s="20"/>
      <c r="M55" s="256"/>
      <c r="N55" s="256"/>
      <c r="O55" s="256"/>
      <c r="P55" s="256"/>
    </row>
    <row r="56" spans="1:16" ht="12.45" hidden="1">
      <c r="A56" s="12"/>
      <c r="B56" s="20"/>
      <c r="C56" s="435"/>
      <c r="D56" s="20"/>
      <c r="E56" s="20"/>
      <c r="F56" s="339"/>
      <c r="G56" s="437"/>
      <c r="H56" s="438"/>
      <c r="I56" s="89"/>
      <c r="J56" s="439"/>
      <c r="K56" s="20"/>
      <c r="L56" s="20"/>
      <c r="M56" s="256"/>
      <c r="N56" s="256"/>
      <c r="O56" s="256"/>
      <c r="P56" s="256"/>
    </row>
    <row r="57" spans="1:16" s="264" customFormat="1" ht="5.15">
      <c r="A57" s="5"/>
      <c r="B57" s="5"/>
      <c r="C57" s="440"/>
      <c r="D57" s="5"/>
      <c r="E57" s="5"/>
      <c r="F57" s="441"/>
      <c r="G57" s="442"/>
      <c r="H57" s="443"/>
      <c r="I57" s="444"/>
      <c r="J57" s="445"/>
      <c r="K57" s="5"/>
      <c r="L57" s="5"/>
      <c r="M57" s="263"/>
      <c r="N57" s="263"/>
      <c r="O57" s="263"/>
      <c r="P57" s="263"/>
    </row>
    <row r="58" spans="1:16" ht="12.45">
      <c r="A58" s="915" t="s">
        <v>356</v>
      </c>
      <c r="B58" s="887"/>
      <c r="C58" s="25"/>
      <c r="D58" s="25"/>
      <c r="E58" s="461"/>
      <c r="F58" s="257"/>
      <c r="G58" s="310"/>
      <c r="H58" s="339"/>
      <c r="I58" s="447"/>
      <c r="J58" s="25"/>
      <c r="K58" s="448"/>
      <c r="L58" s="20"/>
      <c r="M58" s="256"/>
      <c r="N58" s="256"/>
      <c r="O58" s="256"/>
      <c r="P58" s="256"/>
    </row>
    <row r="59" spans="1:16" ht="12.45">
      <c r="A59" s="623" t="s">
        <v>357</v>
      </c>
      <c r="B59" s="23"/>
      <c r="C59" s="25"/>
      <c r="D59" s="25"/>
      <c r="E59" s="461"/>
      <c r="F59" s="461"/>
      <c r="G59" s="310"/>
      <c r="H59" s="339"/>
      <c r="I59" s="150"/>
      <c r="J59" s="25"/>
      <c r="K59" s="25"/>
      <c r="L59" s="20"/>
      <c r="M59" s="256"/>
      <c r="N59" s="256"/>
      <c r="O59" s="256"/>
      <c r="P59" s="256"/>
    </row>
    <row r="60" spans="1:16" ht="12.45">
      <c r="A60" s="451" t="s">
        <v>358</v>
      </c>
      <c r="B60" s="286"/>
      <c r="C60" s="20"/>
      <c r="D60" s="20"/>
      <c r="E60" s="20"/>
      <c r="F60" s="339"/>
      <c r="G60" s="452"/>
      <c r="H60" s="119"/>
      <c r="I60" s="88"/>
      <c r="J60" s="20"/>
      <c r="K60" s="453"/>
      <c r="L60" s="20"/>
      <c r="M60" s="256"/>
      <c r="N60" s="256"/>
      <c r="O60" s="256"/>
      <c r="P60" s="256"/>
    </row>
    <row r="61" spans="1:16" ht="12.45">
      <c r="A61" s="451" t="s">
        <v>359</v>
      </c>
      <c r="B61" s="286"/>
      <c r="C61" s="20"/>
      <c r="D61" s="20"/>
      <c r="E61" s="20"/>
      <c r="F61" s="339"/>
      <c r="G61" s="452"/>
      <c r="H61" s="119"/>
      <c r="I61" s="119"/>
      <c r="J61" s="20"/>
      <c r="K61" s="453"/>
      <c r="L61" s="20"/>
      <c r="M61" s="256"/>
      <c r="N61" s="256"/>
      <c r="O61" s="256"/>
      <c r="P61" s="256"/>
    </row>
    <row r="62" spans="1:16" s="264" customFormat="1" ht="5.15">
      <c r="A62" s="454"/>
      <c r="B62" s="5"/>
      <c r="C62" s="5"/>
      <c r="D62" s="5"/>
      <c r="E62" s="65"/>
      <c r="F62" s="455"/>
      <c r="G62" s="456"/>
      <c r="H62" s="142"/>
      <c r="I62" s="142"/>
      <c r="J62" s="5"/>
      <c r="K62" s="457"/>
      <c r="L62" s="5"/>
      <c r="M62" s="263"/>
      <c r="N62" s="263"/>
      <c r="O62" s="263"/>
      <c r="P62" s="263"/>
    </row>
    <row r="63" spans="1:16" ht="11.6">
      <c r="A63" s="458" t="s">
        <v>248</v>
      </c>
      <c r="B63" s="25"/>
      <c r="C63" s="25"/>
      <c r="D63" s="25"/>
      <c r="E63" s="20"/>
      <c r="F63" s="339"/>
      <c r="G63" s="452"/>
      <c r="H63" s="119"/>
      <c r="I63" s="119"/>
      <c r="J63" s="20"/>
      <c r="K63" s="20"/>
      <c r="L63" s="20"/>
      <c r="M63" s="256"/>
      <c r="N63" s="256"/>
      <c r="O63" s="256"/>
      <c r="P63" s="256"/>
    </row>
    <row r="64" spans="1:16" ht="11.6">
      <c r="A64" s="459" t="s">
        <v>249</v>
      </c>
      <c r="B64" s="459"/>
      <c r="C64" s="25"/>
      <c r="D64" s="25"/>
      <c r="E64" s="25"/>
      <c r="F64" s="310"/>
      <c r="G64" s="450"/>
      <c r="H64" s="150"/>
      <c r="I64" s="150"/>
      <c r="J64" s="25"/>
      <c r="K64" s="25"/>
      <c r="L64" s="20"/>
      <c r="M64" s="256"/>
      <c r="N64" s="256"/>
      <c r="O64" s="256"/>
      <c r="P64" s="256"/>
    </row>
    <row r="65" spans="1:16" ht="11.6">
      <c r="A65" s="460" t="s">
        <v>250</v>
      </c>
      <c r="B65" s="461"/>
      <c r="C65" s="25"/>
      <c r="D65" s="25"/>
      <c r="E65" s="25"/>
      <c r="F65" s="310"/>
      <c r="G65" s="450"/>
      <c r="H65" s="150"/>
      <c r="I65" s="150"/>
      <c r="J65" s="25"/>
      <c r="K65" s="25"/>
      <c r="L65" s="20"/>
      <c r="M65" s="256"/>
      <c r="N65" s="256"/>
      <c r="O65" s="256"/>
      <c r="P65" s="256"/>
    </row>
    <row r="66" spans="1:16" ht="11.6">
      <c r="A66" s="25" t="s">
        <v>251</v>
      </c>
      <c r="B66" s="461"/>
      <c r="C66" s="25"/>
      <c r="D66" s="25"/>
      <c r="E66" s="25"/>
      <c r="F66" s="310"/>
      <c r="G66" s="450"/>
      <c r="H66" s="150"/>
      <c r="I66" s="150"/>
      <c r="J66" s="25"/>
      <c r="K66" s="25"/>
      <c r="L66" s="20"/>
      <c r="M66" s="256"/>
      <c r="N66" s="256"/>
      <c r="O66" s="256"/>
      <c r="P66" s="256"/>
    </row>
    <row r="67" spans="1:16" ht="11.6">
      <c r="A67" s="25" t="s">
        <v>252</v>
      </c>
      <c r="B67" s="25"/>
      <c r="C67" s="25"/>
      <c r="D67" s="25"/>
      <c r="E67" s="25"/>
      <c r="F67" s="310"/>
      <c r="G67" s="450"/>
      <c r="H67" s="150"/>
      <c r="I67" s="150"/>
      <c r="J67" s="25"/>
      <c r="K67" s="25"/>
      <c r="L67" s="20"/>
      <c r="M67" s="256"/>
      <c r="N67" s="256"/>
      <c r="O67" s="256"/>
      <c r="P67" s="256"/>
    </row>
    <row r="68" spans="1:16" ht="14.15">
      <c r="A68" s="25" t="s">
        <v>253</v>
      </c>
      <c r="B68" s="462">
        <f>(B17^2+B19^2)^0.5</f>
        <v>9.6509631125603228</v>
      </c>
      <c r="C68" s="624">
        <f>(C17^2+C19^2)^0.5</f>
        <v>31.663264853116097</v>
      </c>
      <c r="D68" s="463" t="s">
        <v>360</v>
      </c>
      <c r="E68" s="25"/>
      <c r="F68" s="310"/>
      <c r="G68" s="450"/>
      <c r="H68" s="150"/>
      <c r="I68" s="150"/>
      <c r="J68" s="25"/>
      <c r="K68" s="25"/>
      <c r="L68" s="20"/>
      <c r="M68" s="256"/>
      <c r="N68" s="256"/>
      <c r="O68" s="256"/>
      <c r="P68" s="256"/>
    </row>
    <row r="69" spans="1:16" ht="11.6">
      <c r="A69" s="257"/>
      <c r="B69" s="257"/>
      <c r="C69" s="257"/>
      <c r="D69" s="257"/>
      <c r="E69" s="25"/>
      <c r="F69" s="310"/>
      <c r="G69" s="450"/>
      <c r="H69" s="150"/>
      <c r="I69" s="150"/>
      <c r="J69" s="25"/>
      <c r="K69" s="464"/>
      <c r="L69" s="20"/>
      <c r="M69" s="256"/>
      <c r="N69" s="256"/>
      <c r="O69" s="256"/>
      <c r="P69" s="256"/>
    </row>
    <row r="70" spans="1:16">
      <c r="M70" s="466"/>
    </row>
  </sheetData>
  <mergeCells count="2">
    <mergeCell ref="H25:J25"/>
    <mergeCell ref="A58:B58"/>
  </mergeCells>
  <printOptions horizontalCentered="1"/>
  <pageMargins left="0.47244094488188981" right="0.47244094488188981" top="0.51181102362204722" bottom="0.47244094488188981" header="0.31496062992125984" footer="0.31496062992125984"/>
  <pageSetup scale="72" orientation="portrait" r:id="rId1"/>
  <headerFooter>
    <oddFooter>&amp;L&amp;"Arial,Regular"&amp;8workbook:&amp;9 &amp;F&amp;8
worksheet: &amp;9&amp;A&amp;R&amp;"Arial,Regular"&amp;9slackwater_sf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71"/>
  <sheetViews>
    <sheetView zoomScaleNormal="100" workbookViewId="0">
      <selection activeCell="B15" sqref="B15:D18"/>
    </sheetView>
  </sheetViews>
  <sheetFormatPr defaultColWidth="9.15234375" defaultRowHeight="14.6"/>
  <cols>
    <col min="1" max="1" width="39.3046875" style="465" bestFit="1" customWidth="1"/>
    <col min="2" max="2" width="11.15234375" style="465" customWidth="1"/>
    <col min="3" max="3" width="9.15234375" style="465"/>
    <col min="4" max="4" width="1.3828125" style="465" customWidth="1"/>
    <col min="5" max="10" width="9.15234375" style="465" hidden="1" customWidth="1"/>
    <col min="11" max="11" width="11.53515625" style="465" customWidth="1"/>
    <col min="12" max="12" width="10.15234375" style="257" customWidth="1"/>
    <col min="13" max="13" width="9.15234375" style="257"/>
    <col min="14" max="14" width="10.15234375" style="257" customWidth="1"/>
    <col min="15" max="16384" width="9.15234375" style="257"/>
  </cols>
  <sheetData>
    <row r="1" spans="1:16" ht="17.600000000000001">
      <c r="A1" s="251" t="s">
        <v>195</v>
      </c>
      <c r="B1" s="252" t="s">
        <v>196</v>
      </c>
      <c r="C1" s="253" t="s">
        <v>197</v>
      </c>
      <c r="D1" s="171"/>
      <c r="E1" s="171"/>
      <c r="F1" s="254"/>
      <c r="G1" s="254"/>
      <c r="H1" s="255"/>
      <c r="I1" s="255"/>
      <c r="J1" s="171"/>
      <c r="K1" s="20"/>
      <c r="L1" s="20"/>
      <c r="M1" s="256"/>
      <c r="N1" s="256"/>
      <c r="O1" s="256"/>
      <c r="P1" s="256"/>
    </row>
    <row r="2" spans="1:16" ht="17.600000000000001">
      <c r="A2" s="258" t="s">
        <v>482</v>
      </c>
      <c r="B2" s="259">
        <f>B28</f>
        <v>24.256945800458631</v>
      </c>
      <c r="C2" s="469">
        <f>C28</f>
        <v>261.09959117379299</v>
      </c>
      <c r="D2" s="261"/>
      <c r="E2" s="261"/>
      <c r="F2" s="261"/>
      <c r="G2" s="31"/>
      <c r="H2" s="32"/>
      <c r="I2" s="32"/>
      <c r="J2" s="32"/>
      <c r="K2" s="32"/>
      <c r="L2" s="5"/>
      <c r="M2" s="32"/>
      <c r="N2" s="32"/>
      <c r="O2" s="116"/>
      <c r="P2" s="116"/>
    </row>
    <row r="3" spans="1:16" s="264" customFormat="1" ht="5.15">
      <c r="A3" s="262"/>
      <c r="B3" s="31"/>
      <c r="C3" s="31"/>
      <c r="D3" s="261"/>
      <c r="E3" s="31"/>
      <c r="F3" s="32"/>
      <c r="G3" s="32"/>
      <c r="H3" s="32"/>
      <c r="I3" s="32"/>
      <c r="J3" s="5"/>
      <c r="K3" s="32"/>
      <c r="L3" s="32"/>
      <c r="M3" s="116"/>
      <c r="N3" s="116"/>
      <c r="O3" s="116"/>
      <c r="P3" s="263"/>
    </row>
    <row r="4" spans="1:16" s="264" customFormat="1" ht="15.45">
      <c r="A4" s="265" t="s">
        <v>199</v>
      </c>
      <c r="B4" s="31"/>
      <c r="C4" s="31"/>
      <c r="D4" s="261"/>
      <c r="E4" s="31"/>
      <c r="F4" s="32"/>
      <c r="G4" s="32"/>
      <c r="H4" s="32"/>
      <c r="I4" s="32"/>
      <c r="J4" s="5"/>
      <c r="K4" s="32"/>
      <c r="L4" s="32"/>
      <c r="M4" s="116"/>
      <c r="N4" s="116"/>
      <c r="O4" s="116"/>
      <c r="P4" s="263"/>
    </row>
    <row r="5" spans="1:16" s="264" customFormat="1" ht="14.15">
      <c r="A5" s="266" t="s">
        <v>200</v>
      </c>
      <c r="B5" s="31"/>
      <c r="C5" s="31"/>
      <c r="D5" s="261"/>
      <c r="E5" s="31"/>
      <c r="F5" s="32"/>
      <c r="G5" s="32"/>
      <c r="H5" s="32"/>
      <c r="I5" s="32"/>
      <c r="J5" s="5"/>
      <c r="K5" s="32"/>
      <c r="L5" s="32"/>
      <c r="M5" s="116"/>
      <c r="N5" s="116"/>
      <c r="O5" s="116"/>
      <c r="P5" s="263"/>
    </row>
    <row r="6" spans="1:16" s="264" customFormat="1" ht="5.15">
      <c r="A6" s="262"/>
      <c r="B6" s="31"/>
      <c r="C6" s="31"/>
      <c r="D6" s="261"/>
      <c r="E6" s="31"/>
      <c r="F6" s="32"/>
      <c r="G6" s="32"/>
      <c r="H6" s="32"/>
      <c r="I6" s="32"/>
      <c r="J6" s="5"/>
      <c r="K6" s="32"/>
      <c r="L6" s="32"/>
      <c r="M6" s="116"/>
      <c r="N6" s="116"/>
      <c r="O6" s="116"/>
      <c r="P6" s="263"/>
    </row>
    <row r="7" spans="1:16" s="264" customFormat="1" ht="11.6">
      <c r="A7" s="267" t="s">
        <v>201</v>
      </c>
      <c r="B7" s="31"/>
      <c r="C7" s="31"/>
      <c r="D7" s="261"/>
      <c r="E7" s="31"/>
      <c r="F7" s="32"/>
      <c r="G7" s="32"/>
      <c r="H7" s="32"/>
      <c r="I7" s="32"/>
      <c r="J7" s="5"/>
      <c r="K7" s="32"/>
      <c r="L7" s="32"/>
      <c r="M7" s="116"/>
      <c r="N7" s="116"/>
      <c r="O7" s="116"/>
      <c r="P7" s="263"/>
    </row>
    <row r="8" spans="1:16" s="264" customFormat="1" ht="11.6">
      <c r="A8" s="267" t="s">
        <v>202</v>
      </c>
      <c r="B8" s="31"/>
      <c r="C8" s="31"/>
      <c r="D8" s="261"/>
      <c r="E8" s="31"/>
      <c r="F8" s="32"/>
      <c r="G8" s="32"/>
      <c r="H8" s="32"/>
      <c r="I8" s="32"/>
      <c r="J8" s="267"/>
      <c r="K8" s="31"/>
      <c r="L8" s="31"/>
      <c r="M8" s="262"/>
      <c r="N8" s="31"/>
      <c r="O8" s="31"/>
      <c r="P8" s="263"/>
    </row>
    <row r="9" spans="1:16" s="264" customFormat="1" ht="5.15">
      <c r="A9" s="716"/>
      <c r="B9" s="587"/>
      <c r="C9" s="31"/>
      <c r="D9" s="261"/>
      <c r="E9" s="31"/>
      <c r="F9" s="32"/>
      <c r="G9" s="32"/>
      <c r="H9" s="32"/>
      <c r="I9" s="32"/>
      <c r="J9" s="262"/>
      <c r="K9" s="31"/>
      <c r="L9" s="31"/>
      <c r="M9" s="262"/>
      <c r="N9" s="31"/>
      <c r="O9" s="31"/>
      <c r="P9" s="263"/>
    </row>
    <row r="10" spans="1:16" s="264" customFormat="1" ht="11.6">
      <c r="A10" s="267" t="s">
        <v>483</v>
      </c>
      <c r="B10" s="263"/>
      <c r="C10" s="31"/>
      <c r="D10" s="272"/>
      <c r="E10" s="271"/>
      <c r="F10" s="273"/>
      <c r="G10" s="273"/>
      <c r="H10" s="273"/>
      <c r="I10" s="273"/>
      <c r="J10" s="65"/>
      <c r="K10" s="273"/>
      <c r="L10" s="273"/>
      <c r="M10" s="274"/>
      <c r="N10" s="274"/>
      <c r="O10" s="274"/>
      <c r="P10" s="275"/>
    </row>
    <row r="11" spans="1:16" s="263" customFormat="1" ht="11.6">
      <c r="A11" s="267" t="s">
        <v>484</v>
      </c>
      <c r="L11" s="31"/>
      <c r="M11" s="262"/>
      <c r="N11" s="31"/>
      <c r="O11" s="31"/>
    </row>
    <row r="12" spans="1:16" s="283" customFormat="1" ht="11.6">
      <c r="A12" s="267" t="s">
        <v>485</v>
      </c>
      <c r="B12" s="263"/>
      <c r="C12" s="263"/>
      <c r="D12" s="263"/>
      <c r="E12" s="263"/>
      <c r="F12" s="263"/>
      <c r="G12" s="263"/>
      <c r="H12" s="263"/>
      <c r="I12" s="263"/>
      <c r="J12" s="263"/>
      <c r="K12" s="263"/>
      <c r="L12" s="31"/>
      <c r="M12" s="262"/>
      <c r="N12" s="31"/>
      <c r="O12" s="31"/>
      <c r="P12" s="263"/>
    </row>
    <row r="13" spans="1:16" s="283" customFormat="1" ht="11.6">
      <c r="A13" s="717" t="s">
        <v>486</v>
      </c>
      <c r="B13" s="277"/>
      <c r="C13" s="277"/>
      <c r="D13" s="278"/>
      <c r="E13" s="264"/>
      <c r="F13" s="280"/>
      <c r="G13" s="280"/>
      <c r="H13" s="280"/>
      <c r="I13" s="280"/>
      <c r="J13" s="276"/>
      <c r="K13" s="277"/>
      <c r="L13" s="281"/>
      <c r="M13" s="282"/>
      <c r="N13" s="281"/>
      <c r="O13" s="281"/>
    </row>
    <row r="14" spans="1:16" s="263" customFormat="1" ht="5.15">
      <c r="A14" s="262"/>
      <c r="B14" s="31"/>
      <c r="C14" s="31"/>
      <c r="D14" s="31"/>
      <c r="E14" s="31"/>
      <c r="F14" s="32"/>
      <c r="G14" s="32"/>
      <c r="H14" s="32"/>
      <c r="I14" s="32"/>
      <c r="J14" s="262"/>
      <c r="K14" s="31"/>
      <c r="L14" s="31"/>
      <c r="M14" s="262"/>
      <c r="N14" s="31"/>
      <c r="O14" s="31"/>
    </row>
    <row r="15" spans="1:16" s="264" customFormat="1" ht="5.15">
      <c r="A15" s="588"/>
      <c r="B15" s="589"/>
      <c r="C15" s="590"/>
      <c r="D15" s="718"/>
      <c r="E15" s="32"/>
      <c r="F15" s="591"/>
      <c r="G15" s="591"/>
      <c r="H15" s="591"/>
      <c r="I15" s="591"/>
      <c r="J15" s="32"/>
      <c r="K15" s="591"/>
      <c r="L15" s="591"/>
      <c r="M15" s="283"/>
      <c r="N15" s="283"/>
      <c r="O15" s="283"/>
      <c r="P15" s="283"/>
    </row>
    <row r="16" spans="1:16" ht="12.45">
      <c r="A16" s="299" t="s">
        <v>210</v>
      </c>
      <c r="B16" s="300"/>
      <c r="C16" s="301"/>
      <c r="D16" s="302"/>
      <c r="E16" s="40"/>
      <c r="F16" s="40"/>
      <c r="G16" s="40"/>
      <c r="H16" s="40"/>
      <c r="I16" s="40"/>
      <c r="J16" s="40"/>
      <c r="K16" s="40"/>
      <c r="L16" s="18"/>
      <c r="M16" s="256"/>
      <c r="N16" s="256"/>
      <c r="O16" s="256"/>
      <c r="P16" s="256"/>
    </row>
    <row r="17" spans="1:16" ht="15.45">
      <c r="A17" s="304" t="s">
        <v>34</v>
      </c>
      <c r="B17" s="592">
        <v>10.78</v>
      </c>
      <c r="C17" s="306">
        <f>B17*3.2808399</f>
        <v>35.367454121999998</v>
      </c>
      <c r="D17" s="307"/>
      <c r="E17" s="310">
        <v>250</v>
      </c>
      <c r="F17" s="311"/>
      <c r="G17" s="312"/>
      <c r="H17" s="313"/>
      <c r="I17" s="40"/>
      <c r="J17" s="40"/>
      <c r="K17" s="40"/>
      <c r="L17" s="18"/>
      <c r="M17" s="256"/>
      <c r="N17" s="256"/>
      <c r="O17" s="256"/>
      <c r="P17" s="256"/>
    </row>
    <row r="18" spans="1:16" ht="15.45">
      <c r="A18" s="314" t="s">
        <v>487</v>
      </c>
      <c r="B18" s="593">
        <v>10.7</v>
      </c>
      <c r="C18" s="316">
        <f>B18*3.2808399</f>
        <v>35.104986930000003</v>
      </c>
      <c r="D18" s="317"/>
      <c r="E18" s="310">
        <f>B18*$E$17/$B$17</f>
        <v>248.14471243042672</v>
      </c>
      <c r="F18" s="40"/>
      <c r="G18" s="320">
        <v>127.3355</v>
      </c>
      <c r="H18" s="150">
        <v>-74.22</v>
      </c>
      <c r="I18" s="119">
        <f>H18+90</f>
        <v>15.780000000000001</v>
      </c>
      <c r="J18" s="40"/>
      <c r="K18" s="40"/>
      <c r="L18" s="18"/>
      <c r="M18" s="256"/>
      <c r="N18" s="256"/>
      <c r="O18" s="256"/>
      <c r="P18" s="256"/>
    </row>
    <row r="19" spans="1:16" ht="15.45">
      <c r="A19" s="321" t="s">
        <v>215</v>
      </c>
      <c r="B19" s="594">
        <v>2.95</v>
      </c>
      <c r="C19" s="323">
        <f>B19*3.2808399</f>
        <v>9.6784777050000006</v>
      </c>
      <c r="D19" s="324"/>
      <c r="E19" s="310">
        <f>B19*$E$17/$B$17</f>
        <v>68.41372912801485</v>
      </c>
      <c r="F19" s="320"/>
      <c r="G19" s="320"/>
      <c r="H19" s="327"/>
      <c r="I19" s="327"/>
      <c r="J19" s="42"/>
      <c r="K19" s="40"/>
      <c r="L19" s="18"/>
      <c r="M19" s="256"/>
      <c r="N19" s="256"/>
      <c r="O19" s="256"/>
      <c r="P19" s="256"/>
    </row>
    <row r="20" spans="1:16" ht="10.75">
      <c r="A20" s="299" t="s">
        <v>210</v>
      </c>
      <c r="B20" s="328"/>
      <c r="C20" s="328"/>
      <c r="D20" s="329"/>
      <c r="E20" s="329"/>
      <c r="F20" s="332"/>
      <c r="G20" s="332"/>
      <c r="H20" s="333"/>
      <c r="I20" s="333"/>
      <c r="J20" s="334"/>
      <c r="K20" s="334"/>
      <c r="L20" s="18"/>
      <c r="M20" s="256"/>
      <c r="N20" s="256"/>
      <c r="O20" s="256"/>
      <c r="P20" s="256"/>
    </row>
    <row r="21" spans="1:16" ht="12.45">
      <c r="A21" s="335" t="s">
        <v>488</v>
      </c>
      <c r="B21" s="596">
        <v>1.35</v>
      </c>
      <c r="C21" s="150">
        <f>B21*3.2808399</f>
        <v>4.4291338650000007</v>
      </c>
      <c r="D21" s="207"/>
      <c r="E21" s="20"/>
      <c r="F21" s="339"/>
      <c r="G21" s="339"/>
      <c r="H21" s="119"/>
      <c r="I21" s="165">
        <v>0.81069999999999998</v>
      </c>
      <c r="J21" s="119">
        <f>I21*3.2808399</f>
        <v>2.6597769069299999</v>
      </c>
      <c r="K21" s="20"/>
      <c r="L21" s="20"/>
      <c r="M21" s="256"/>
      <c r="N21" s="256"/>
      <c r="O21" s="256"/>
      <c r="P21" s="256"/>
    </row>
    <row r="22" spans="1:16" ht="12.45">
      <c r="A22" s="82" t="s">
        <v>489</v>
      </c>
      <c r="B22" s="109">
        <v>1.53</v>
      </c>
      <c r="C22" s="150">
        <f>B22*3.2808399</f>
        <v>5.0196850470000003</v>
      </c>
      <c r="D22" s="341"/>
      <c r="E22" s="177"/>
      <c r="F22" s="339"/>
      <c r="G22" s="339"/>
      <c r="H22" s="119"/>
      <c r="I22" s="119"/>
      <c r="J22" s="20"/>
      <c r="K22" s="20"/>
      <c r="L22" s="20"/>
      <c r="M22" s="256"/>
      <c r="N22" s="256"/>
      <c r="O22" s="256"/>
      <c r="P22" s="256"/>
    </row>
    <row r="23" spans="1:16" ht="12.45">
      <c r="A23" s="82" t="s">
        <v>490</v>
      </c>
      <c r="B23" s="109">
        <v>1.87</v>
      </c>
      <c r="C23" s="150">
        <f>B23*3.2808399</f>
        <v>6.1351706130000006</v>
      </c>
      <c r="D23" s="207"/>
      <c r="E23" s="20"/>
      <c r="F23" s="339"/>
      <c r="G23" s="339"/>
      <c r="H23" s="119"/>
      <c r="I23" s="165">
        <v>2.1335000000000002</v>
      </c>
      <c r="J23" s="119">
        <f>I23*3.2808399</f>
        <v>6.9996719266500005</v>
      </c>
      <c r="K23" s="20"/>
      <c r="L23" s="20"/>
      <c r="M23" s="256"/>
      <c r="N23" s="256"/>
      <c r="O23" s="256"/>
      <c r="P23" s="256"/>
    </row>
    <row r="24" spans="1:16" ht="12.45">
      <c r="A24" s="82" t="s">
        <v>491</v>
      </c>
      <c r="B24" s="109">
        <v>2.33</v>
      </c>
      <c r="C24" s="150">
        <f>B24*3.2808399</f>
        <v>7.6443569670000002</v>
      </c>
      <c r="D24" s="202"/>
      <c r="E24" s="343"/>
      <c r="F24" s="320"/>
      <c r="G24" s="320"/>
      <c r="H24" s="327"/>
      <c r="I24" s="165">
        <v>2.8955000000000002</v>
      </c>
      <c r="J24" s="119">
        <f>I24*3.2808399</f>
        <v>9.4996719304500008</v>
      </c>
      <c r="K24" s="40"/>
      <c r="L24" s="18"/>
      <c r="M24" s="256"/>
      <c r="N24" s="256"/>
      <c r="O24" s="256"/>
      <c r="P24" s="256"/>
    </row>
    <row r="25" spans="1:16" ht="12.45">
      <c r="A25" s="114" t="s">
        <v>492</v>
      </c>
      <c r="B25" s="113">
        <v>2.66</v>
      </c>
      <c r="C25" s="150">
        <f>B25*3.2808399</f>
        <v>8.7270341340000002</v>
      </c>
      <c r="D25" s="345"/>
      <c r="E25" s="25"/>
      <c r="F25" s="339"/>
      <c r="G25" s="347"/>
      <c r="H25" s="884"/>
      <c r="I25" s="885"/>
      <c r="J25" s="885"/>
      <c r="K25" s="348"/>
      <c r="L25" s="349"/>
      <c r="M25" s="256"/>
      <c r="N25" s="256"/>
      <c r="O25" s="256"/>
      <c r="P25" s="256"/>
    </row>
    <row r="26" spans="1:16" ht="12.45">
      <c r="A26" s="350"/>
      <c r="B26" s="227"/>
      <c r="C26" s="351"/>
      <c r="D26" s="351"/>
      <c r="E26" s="351"/>
      <c r="F26" s="352"/>
      <c r="G26" s="352"/>
      <c r="H26" s="353"/>
      <c r="I26" s="353"/>
      <c r="J26" s="351"/>
      <c r="K26" s="20"/>
      <c r="L26" s="20"/>
      <c r="M26" s="256"/>
      <c r="N26" s="256"/>
      <c r="O26" s="256"/>
      <c r="P26" s="256"/>
    </row>
    <row r="27" spans="1:16" ht="12.45">
      <c r="A27" s="191"/>
      <c r="B27" s="252" t="s">
        <v>196</v>
      </c>
      <c r="C27" s="253" t="s">
        <v>197</v>
      </c>
      <c r="D27" s="171"/>
      <c r="E27" s="171"/>
      <c r="F27" s="254"/>
      <c r="G27" s="254"/>
      <c r="H27" s="255"/>
      <c r="I27" s="255"/>
      <c r="J27" s="171"/>
      <c r="K27" s="20"/>
      <c r="L27" s="20"/>
      <c r="M27" s="256"/>
      <c r="N27" s="256"/>
      <c r="O27" s="256"/>
      <c r="P27" s="256"/>
    </row>
    <row r="28" spans="1:16" ht="17.600000000000001">
      <c r="A28" s="354" t="s">
        <v>221</v>
      </c>
      <c r="B28" s="355">
        <f>B29+B44</f>
        <v>24.256945800458631</v>
      </c>
      <c r="C28" s="609">
        <f>B28*10.7639104</f>
        <v>261.09959117379299</v>
      </c>
      <c r="D28" s="357"/>
      <c r="E28" s="360"/>
      <c r="F28" s="361">
        <f>(C28/C35)-1</f>
        <v>8.6019659342093657E-2</v>
      </c>
      <c r="G28" s="362"/>
      <c r="H28" s="119"/>
      <c r="I28" s="119"/>
      <c r="J28" s="20"/>
      <c r="K28" s="20"/>
      <c r="L28" s="363"/>
      <c r="M28" s="256"/>
      <c r="N28" s="256"/>
      <c r="O28" s="256"/>
      <c r="P28" s="256"/>
    </row>
    <row r="29" spans="1:16" ht="12.45">
      <c r="A29" s="364" t="s">
        <v>222</v>
      </c>
      <c r="B29" s="365">
        <f>(B43+B49)/2*B31+(B43+B42)/2*(B30-B31)+(B42+B41)/2*(B32-B30)+(B40+B41)/2*(B33-B32)+(B40+B39)/2*(B37-B33)</f>
        <v>23.553647730724219</v>
      </c>
      <c r="C29" s="366">
        <f>B29*10.7639104</f>
        <v>253.52935376667884</v>
      </c>
      <c r="D29" s="357"/>
      <c r="E29" s="20"/>
      <c r="F29" s="339"/>
      <c r="G29" s="339"/>
      <c r="H29" s="119"/>
      <c r="I29" s="119"/>
      <c r="J29" s="20"/>
      <c r="K29" s="20"/>
      <c r="L29" s="363"/>
      <c r="M29" s="256"/>
      <c r="N29" s="256"/>
      <c r="O29" s="256"/>
      <c r="P29" s="256"/>
    </row>
    <row r="30" spans="1:16" ht="11.6">
      <c r="A30" s="369" t="s">
        <v>223</v>
      </c>
      <c r="B30" s="370">
        <f>B37/2+(B42-B38/2)/B37*B38</f>
        <v>5.3956094138724771</v>
      </c>
      <c r="C30" s="371">
        <f>B37/2+(B42-B38/2)/B37*B38</f>
        <v>5.3956094138724771</v>
      </c>
      <c r="D30" s="372"/>
      <c r="E30" s="20"/>
      <c r="F30" s="339"/>
      <c r="G30" s="339"/>
      <c r="H30" s="119"/>
      <c r="I30" s="119"/>
      <c r="J30" s="20"/>
      <c r="K30" s="20"/>
      <c r="L30" s="363"/>
      <c r="M30" s="256"/>
      <c r="N30" s="256"/>
      <c r="O30" s="256"/>
      <c r="P30" s="256"/>
    </row>
    <row r="31" spans="1:16" ht="11.6">
      <c r="A31" s="79" t="s">
        <v>224</v>
      </c>
      <c r="B31" s="374">
        <f>B30/2+(B43-(B38+B42)/2)*(B38-B42)/B30</f>
        <v>2.7020983005715142</v>
      </c>
      <c r="C31" s="371">
        <f>B30/2+(B43-(B38+B42)/2)*(B38-B42)/B30</f>
        <v>2.7020983005715142</v>
      </c>
      <c r="D31" s="372"/>
      <c r="E31" s="20"/>
      <c r="F31" s="339"/>
      <c r="G31" s="339"/>
      <c r="H31" s="119"/>
      <c r="I31" s="119"/>
      <c r="J31" s="20"/>
      <c r="K31" s="20"/>
      <c r="L31" s="363"/>
      <c r="M31" s="256"/>
      <c r="N31" s="256"/>
      <c r="O31" s="256"/>
      <c r="P31" s="256"/>
    </row>
    <row r="32" spans="1:16" ht="11.6">
      <c r="A32" s="79" t="s">
        <v>225</v>
      </c>
      <c r="B32" s="374">
        <f>(B30+B37)/2+(B41-B42/2)*B42/(B37-B30)</f>
        <v>8.1812957463945803</v>
      </c>
      <c r="C32" s="371">
        <f>(B30+B37)/2+(B41-B42/2)*B42/(B37-B30)</f>
        <v>8.1812957463945803</v>
      </c>
      <c r="D32" s="372"/>
      <c r="E32" s="20"/>
      <c r="F32" s="339"/>
      <c r="G32" s="339"/>
      <c r="H32" s="119"/>
      <c r="I32" s="119"/>
      <c r="J32" s="20"/>
      <c r="K32" s="20"/>
      <c r="L32" s="363"/>
      <c r="M32" s="256"/>
      <c r="N32" s="256"/>
      <c r="O32" s="256"/>
      <c r="P32" s="256"/>
    </row>
    <row r="33" spans="1:16" ht="12.45">
      <c r="A33" s="112" t="s">
        <v>226</v>
      </c>
      <c r="B33" s="376">
        <f>(B32+B37)/2+(B40-B41/2)*B41/(B37-B32)</f>
        <v>9.7649618915325505</v>
      </c>
      <c r="C33" s="371">
        <f>(B32+B37)/2+(B40-B41/2)*B41/(B36-B32)</f>
        <v>9.3138631738755624</v>
      </c>
      <c r="D33" s="372"/>
      <c r="E33" s="12"/>
      <c r="F33" s="339"/>
      <c r="G33" s="339"/>
      <c r="H33" s="119"/>
      <c r="I33" s="119"/>
      <c r="J33" s="20"/>
      <c r="K33" s="20"/>
      <c r="L33" s="363"/>
      <c r="M33" s="256"/>
      <c r="N33" s="256"/>
      <c r="O33" s="256"/>
      <c r="P33" s="256"/>
    </row>
    <row r="34" spans="1:16" ht="11.6">
      <c r="A34" s="378"/>
      <c r="B34" s="379"/>
      <c r="C34" s="380"/>
      <c r="D34" s="381"/>
      <c r="E34" s="20"/>
      <c r="F34" s="362"/>
      <c r="G34" s="362"/>
      <c r="H34" s="119"/>
      <c r="I34" s="119"/>
      <c r="J34" s="20"/>
      <c r="K34" s="20"/>
      <c r="L34" s="363"/>
      <c r="M34" s="256"/>
      <c r="N34" s="256"/>
      <c r="O34" s="256"/>
      <c r="P34" s="256"/>
    </row>
    <row r="35" spans="1:16" ht="15.45">
      <c r="A35" s="354" t="s">
        <v>493</v>
      </c>
      <c r="B35" s="382">
        <f>B36-B44</f>
        <v>22.33564152526796</v>
      </c>
      <c r="C35" s="609">
        <f>B35*10.7639104</f>
        <v>240.41884410450365</v>
      </c>
      <c r="D35" s="384"/>
      <c r="E35" s="20"/>
      <c r="F35" s="339"/>
      <c r="G35" s="339"/>
      <c r="H35" s="119"/>
      <c r="I35" s="386"/>
      <c r="J35" s="20"/>
      <c r="K35" s="20"/>
      <c r="L35" s="20"/>
      <c r="M35" s="256"/>
      <c r="N35" s="256"/>
      <c r="O35" s="256"/>
      <c r="P35" s="256"/>
    </row>
    <row r="36" spans="1:16" ht="12.45">
      <c r="A36" s="364" t="s">
        <v>228</v>
      </c>
      <c r="B36" s="365">
        <f>(B37/8)*(B38+2*B43+2*B42+1.5*B41+B40+0.5*B39)</f>
        <v>23.038939595002372</v>
      </c>
      <c r="C36" s="387">
        <f>B36*10.7639104</f>
        <v>247.98908151161783</v>
      </c>
      <c r="D36" s="207"/>
      <c r="E36" s="20"/>
      <c r="F36" s="339"/>
      <c r="G36" s="339"/>
      <c r="H36" s="119"/>
      <c r="I36" s="119"/>
      <c r="J36" s="20"/>
      <c r="K36" s="20"/>
      <c r="L36" s="20"/>
      <c r="M36" s="256"/>
      <c r="N36" s="256"/>
      <c r="O36" s="256"/>
      <c r="P36" s="256"/>
    </row>
    <row r="37" spans="1:16" ht="11.6">
      <c r="A37" s="388" t="s">
        <v>229</v>
      </c>
      <c r="B37" s="389">
        <f>B45</f>
        <v>10.296655844155824</v>
      </c>
      <c r="C37" s="119">
        <f>B37*3.2808399</f>
        <v>33.78167933007461</v>
      </c>
      <c r="D37" s="390"/>
      <c r="E37" s="310"/>
      <c r="F37" s="310"/>
      <c r="G37" s="310"/>
      <c r="H37" s="150"/>
      <c r="I37" s="119"/>
      <c r="J37" s="20"/>
      <c r="K37" s="20"/>
      <c r="L37" s="20"/>
      <c r="M37" s="256"/>
      <c r="N37" s="256"/>
      <c r="O37" s="256"/>
      <c r="P37" s="256"/>
    </row>
    <row r="38" spans="1:16" ht="11.6">
      <c r="A38" s="393" t="s">
        <v>230</v>
      </c>
      <c r="B38" s="394">
        <f>B49</f>
        <v>2.9101337472719844</v>
      </c>
      <c r="C38" s="119">
        <f>B38*3.2808399</f>
        <v>9.5476829123864437</v>
      </c>
      <c r="D38" s="390"/>
      <c r="E38" s="310">
        <f t="shared" ref="E38:E43" si="0">B38*$E$17/$B$17</f>
        <v>67.489187088867908</v>
      </c>
      <c r="F38" s="362"/>
      <c r="G38" s="362"/>
      <c r="H38" s="150"/>
      <c r="I38" s="119"/>
      <c r="J38" s="20"/>
      <c r="K38" s="20"/>
      <c r="L38" s="20"/>
      <c r="M38" s="256"/>
      <c r="N38" s="256"/>
      <c r="O38" s="256"/>
      <c r="P38" s="256"/>
    </row>
    <row r="39" spans="1:16" ht="12.45">
      <c r="A39" s="82" t="s">
        <v>494</v>
      </c>
      <c r="B39" s="394">
        <f>B21</f>
        <v>1.35</v>
      </c>
      <c r="C39" s="395"/>
      <c r="D39" s="396"/>
      <c r="E39" s="310">
        <f t="shared" si="0"/>
        <v>31.307977736549166</v>
      </c>
      <c r="F39" s="310"/>
      <c r="G39" s="310"/>
      <c r="H39" s="150"/>
      <c r="I39" s="119"/>
      <c r="J39" s="20"/>
      <c r="K39" s="20"/>
      <c r="L39" s="20"/>
      <c r="M39" s="256"/>
      <c r="N39" s="256"/>
      <c r="O39" s="256"/>
      <c r="P39" s="256"/>
    </row>
    <row r="40" spans="1:16" ht="12.45">
      <c r="A40" s="82" t="s">
        <v>495</v>
      </c>
      <c r="B40" s="394">
        <f>B22</f>
        <v>1.53</v>
      </c>
      <c r="C40" s="395"/>
      <c r="D40" s="396"/>
      <c r="E40" s="310">
        <f t="shared" si="0"/>
        <v>35.482374768089059</v>
      </c>
      <c r="F40" s="310">
        <v>66.702500000000001</v>
      </c>
      <c r="G40" s="310">
        <f>F40/2</f>
        <v>33.35125</v>
      </c>
      <c r="H40" s="150">
        <v>-50.427199999999999</v>
      </c>
      <c r="I40" s="119">
        <f>H40+90</f>
        <v>39.572800000000001</v>
      </c>
      <c r="J40" s="20"/>
      <c r="K40" s="20"/>
      <c r="L40" s="20"/>
      <c r="M40" s="256"/>
      <c r="N40" s="256"/>
      <c r="O40" s="256"/>
      <c r="P40" s="256"/>
    </row>
    <row r="41" spans="1:16" ht="12.45">
      <c r="A41" s="82" t="s">
        <v>47</v>
      </c>
      <c r="B41" s="394">
        <f>B23</f>
        <v>1.87</v>
      </c>
      <c r="C41" s="395"/>
      <c r="D41" s="396"/>
      <c r="E41" s="310">
        <f t="shared" si="0"/>
        <v>43.367346938775512</v>
      </c>
      <c r="F41" s="310">
        <v>128.73570000000001</v>
      </c>
      <c r="G41" s="310">
        <f>F41/2</f>
        <v>64.367850000000004</v>
      </c>
      <c r="H41" s="150">
        <v>-65.755499999999998</v>
      </c>
      <c r="I41" s="119">
        <f>H41+90</f>
        <v>24.244500000000002</v>
      </c>
      <c r="J41" s="20"/>
      <c r="K41" s="20"/>
      <c r="L41" s="20"/>
      <c r="M41" s="256"/>
      <c r="N41" s="256"/>
      <c r="O41" s="256"/>
      <c r="P41" s="256"/>
    </row>
    <row r="42" spans="1:16" ht="12.45">
      <c r="A42" s="82" t="s">
        <v>496</v>
      </c>
      <c r="B42" s="394">
        <f>B24</f>
        <v>2.33</v>
      </c>
      <c r="C42" s="395"/>
      <c r="D42" s="396"/>
      <c r="E42" s="310">
        <f t="shared" si="0"/>
        <v>54.035250463821896</v>
      </c>
      <c r="F42" s="310"/>
      <c r="G42" s="310"/>
      <c r="H42" s="150"/>
      <c r="I42" s="119"/>
      <c r="J42" s="20"/>
      <c r="K42" s="20"/>
      <c r="L42" s="20"/>
      <c r="M42" s="256"/>
      <c r="N42" s="256"/>
      <c r="O42" s="256"/>
      <c r="P42" s="256"/>
    </row>
    <row r="43" spans="1:16" ht="12.45">
      <c r="A43" s="114" t="s">
        <v>52</v>
      </c>
      <c r="B43" s="394">
        <f>B25</f>
        <v>2.66</v>
      </c>
      <c r="C43" s="395"/>
      <c r="D43" s="396"/>
      <c r="E43" s="310">
        <f t="shared" si="0"/>
        <v>61.688311688311693</v>
      </c>
      <c r="F43" s="310">
        <v>122.2996</v>
      </c>
      <c r="G43" s="310">
        <f>F43/2</f>
        <v>61.149799999999999</v>
      </c>
      <c r="H43" s="150">
        <v>-83.159099999999995</v>
      </c>
      <c r="I43" s="119">
        <f>H43+90</f>
        <v>6.8409000000000049</v>
      </c>
      <c r="J43" s="20"/>
      <c r="K43" s="20"/>
      <c r="L43" s="20"/>
      <c r="M43" s="256"/>
      <c r="N43" s="256"/>
      <c r="O43" s="256"/>
      <c r="P43" s="256"/>
    </row>
    <row r="44" spans="1:16" ht="12.45">
      <c r="A44" s="397" t="s">
        <v>231</v>
      </c>
      <c r="B44" s="615">
        <f>(1/2*B49*B46)+(2/3*B47*B48)</f>
        <v>0.70329806973441278</v>
      </c>
      <c r="C44" s="399"/>
      <c r="D44" s="396"/>
      <c r="E44" s="25"/>
      <c r="F44" s="310"/>
      <c r="G44" s="310"/>
      <c r="H44" s="150"/>
      <c r="I44" s="119"/>
      <c r="J44" s="20"/>
      <c r="K44" s="20"/>
      <c r="L44" s="20"/>
      <c r="M44" s="256"/>
      <c r="N44" s="256"/>
      <c r="O44" s="256"/>
      <c r="P44" s="256"/>
    </row>
    <row r="45" spans="1:16" ht="11.6">
      <c r="A45" s="401" t="s">
        <v>232</v>
      </c>
      <c r="B45" s="402">
        <f>B17-B46</f>
        <v>10.296655844155824</v>
      </c>
      <c r="C45" s="403"/>
      <c r="D45" s="396"/>
      <c r="E45" s="25"/>
      <c r="F45" s="310"/>
      <c r="G45" s="310"/>
      <c r="H45" s="150"/>
      <c r="I45" s="119"/>
      <c r="J45" s="20"/>
      <c r="K45" s="20"/>
      <c r="L45" s="165"/>
      <c r="M45" s="256"/>
      <c r="N45" s="256"/>
      <c r="O45" s="256"/>
      <c r="P45" s="256"/>
    </row>
    <row r="46" spans="1:16" ht="11.6">
      <c r="A46" s="401" t="s">
        <v>233</v>
      </c>
      <c r="B46" s="402">
        <f>(B19^2-B49^2)^0.5</f>
        <v>0.48334415584417589</v>
      </c>
      <c r="C46" s="403"/>
      <c r="D46" s="396"/>
      <c r="E46" s="310">
        <f>B46*$E$17/$B$17</f>
        <v>11.209280052044896</v>
      </c>
      <c r="F46" s="310"/>
      <c r="G46" s="310"/>
      <c r="H46" s="150"/>
      <c r="I46" s="150"/>
      <c r="J46" s="25"/>
      <c r="K46" s="25"/>
      <c r="L46" s="20"/>
      <c r="M46" s="256"/>
      <c r="N46" s="256"/>
      <c r="O46" s="256"/>
      <c r="P46" s="256"/>
    </row>
    <row r="47" spans="1:16" ht="14.15">
      <c r="A47" s="406" t="s">
        <v>234</v>
      </c>
      <c r="B47" s="407">
        <f>B19</f>
        <v>2.95</v>
      </c>
      <c r="C47" s="403"/>
      <c r="D47" s="396"/>
      <c r="E47" s="25"/>
      <c r="F47" s="310"/>
      <c r="G47" s="310"/>
      <c r="H47" s="409"/>
      <c r="I47" s="150"/>
      <c r="J47" s="25"/>
      <c r="K47" s="25"/>
      <c r="L47" s="20"/>
      <c r="M47" s="256"/>
      <c r="N47" s="256"/>
      <c r="O47" s="256"/>
      <c r="P47" s="256"/>
    </row>
    <row r="48" spans="1:16" ht="12.45">
      <c r="A48" s="406" t="s">
        <v>235</v>
      </c>
      <c r="B48" s="410">
        <v>0</v>
      </c>
      <c r="C48" s="371">
        <f>B48*3.2808399</f>
        <v>0</v>
      </c>
      <c r="D48" s="396"/>
      <c r="E48" s="25"/>
      <c r="F48" s="310"/>
      <c r="G48" s="310"/>
      <c r="H48" s="409"/>
      <c r="I48" s="150"/>
      <c r="J48" s="25"/>
      <c r="K48" s="25"/>
      <c r="L48" s="20"/>
      <c r="M48" s="256"/>
      <c r="N48" s="256"/>
      <c r="O48" s="256"/>
      <c r="P48" s="256"/>
    </row>
    <row r="49" spans="1:16" ht="11.6">
      <c r="A49" s="412" t="s">
        <v>236</v>
      </c>
      <c r="B49" s="413">
        <f>B50/B17*2</f>
        <v>2.9101337472719844</v>
      </c>
      <c r="C49" s="414">
        <f>B49*3.2808399</f>
        <v>9.5476829123864437</v>
      </c>
      <c r="D49" s="415"/>
      <c r="E49" s="310">
        <f>B49*$E$17/$B$17</f>
        <v>67.489187088867908</v>
      </c>
      <c r="F49" s="310"/>
      <c r="G49" s="310"/>
      <c r="H49" s="150"/>
      <c r="I49" s="150"/>
      <c r="J49" s="25"/>
      <c r="K49" s="25"/>
      <c r="L49" s="20"/>
      <c r="M49" s="256"/>
      <c r="N49" s="256"/>
      <c r="O49" s="256"/>
      <c r="P49" s="256"/>
    </row>
    <row r="50" spans="1:16" ht="11.6">
      <c r="A50" s="417" t="s">
        <v>237</v>
      </c>
      <c r="B50" s="418">
        <f>B52</f>
        <v>15.685620897795996</v>
      </c>
      <c r="C50" s="419">
        <f>B50*10.7639104</f>
        <v>168.83861791224365</v>
      </c>
      <c r="D50" s="415"/>
      <c r="E50" s="25"/>
      <c r="F50" s="310"/>
      <c r="G50" s="310"/>
      <c r="H50" s="150"/>
      <c r="I50" s="150"/>
      <c r="J50" s="25"/>
      <c r="K50" s="25"/>
      <c r="L50" s="20"/>
      <c r="M50" s="256"/>
      <c r="N50" s="256"/>
      <c r="O50" s="256"/>
      <c r="P50" s="256"/>
    </row>
    <row r="51" spans="1:16" ht="11.6">
      <c r="A51" s="79" t="s">
        <v>238</v>
      </c>
      <c r="B51" s="421">
        <f>(B17+B18+B19)/2</f>
        <v>12.214999999999998</v>
      </c>
      <c r="C51" s="403"/>
      <c r="D51" s="415"/>
      <c r="E51" s="25"/>
      <c r="F51" s="310"/>
      <c r="G51" s="310"/>
      <c r="H51" s="150"/>
      <c r="I51" s="150"/>
      <c r="J51" s="25"/>
      <c r="K51" s="25"/>
      <c r="L51" s="20"/>
      <c r="M51" s="256"/>
      <c r="N51" s="256"/>
      <c r="O51" s="256"/>
      <c r="P51" s="256"/>
    </row>
    <row r="52" spans="1:16" ht="11.6">
      <c r="A52" s="79" t="s">
        <v>239</v>
      </c>
      <c r="B52" s="374">
        <f>(B51*(B51-B17)*(B51-B18)*(B51-B19))^0.5</f>
        <v>15.685620897795996</v>
      </c>
      <c r="C52" s="403"/>
      <c r="D52" s="25"/>
      <c r="E52" s="25"/>
      <c r="F52" s="620"/>
      <c r="G52" s="310"/>
      <c r="H52" s="620"/>
      <c r="I52" s="150"/>
      <c r="J52" s="25"/>
      <c r="K52" s="25"/>
      <c r="L52" s="20"/>
      <c r="M52" s="256"/>
      <c r="N52" s="256"/>
      <c r="O52" s="256"/>
      <c r="P52" s="256"/>
    </row>
    <row r="53" spans="1:16" ht="11.6">
      <c r="A53" s="423" t="s">
        <v>240</v>
      </c>
      <c r="B53" s="424">
        <f>(B45*B49/((B45^2+B49^2)^0.5))</f>
        <v>2.8004341734694598</v>
      </c>
      <c r="C53" s="414">
        <f>B53*3.2808399</f>
        <v>9.187776173642126</v>
      </c>
      <c r="D53" s="207"/>
      <c r="E53" s="310">
        <f>B53*$E$17/$B$17</f>
        <v>64.94513389307653</v>
      </c>
      <c r="F53" s="461"/>
      <c r="G53" s="310"/>
      <c r="H53" s="339"/>
      <c r="I53" s="150"/>
      <c r="J53" s="25"/>
      <c r="K53" s="25"/>
      <c r="L53" s="20"/>
      <c r="M53" s="256"/>
      <c r="N53" s="256"/>
      <c r="O53" s="256"/>
      <c r="P53" s="256"/>
    </row>
    <row r="54" spans="1:16" ht="12.45">
      <c r="A54" s="79" t="s">
        <v>241</v>
      </c>
      <c r="B54" s="426">
        <f>B44</f>
        <v>0.70329806973441278</v>
      </c>
      <c r="C54" s="427">
        <f>B54*10.7639104</f>
        <v>7.5702374071141714</v>
      </c>
      <c r="D54" s="415"/>
      <c r="E54" s="25"/>
      <c r="F54" s="461"/>
      <c r="G54" s="310"/>
      <c r="H54" s="339"/>
      <c r="I54" s="150"/>
      <c r="J54" s="25"/>
      <c r="K54" s="25"/>
      <c r="L54" s="20"/>
      <c r="M54" s="256"/>
      <c r="N54" s="256"/>
      <c r="O54" s="256"/>
      <c r="P54" s="256"/>
    </row>
    <row r="55" spans="1:16" ht="12.45">
      <c r="A55" s="429" t="s">
        <v>242</v>
      </c>
      <c r="B55" s="430">
        <f>B54*10.7639104</f>
        <v>7.5702374071141714</v>
      </c>
      <c r="C55" s="395"/>
      <c r="D55" s="396"/>
      <c r="E55" s="25"/>
      <c r="F55" s="461"/>
      <c r="G55" s="310"/>
      <c r="H55" s="339"/>
      <c r="I55" s="150"/>
      <c r="J55" s="25"/>
      <c r="K55" s="25"/>
      <c r="L55" s="20"/>
      <c r="M55" s="256"/>
      <c r="N55" s="256"/>
      <c r="O55" s="256"/>
      <c r="P55" s="256"/>
    </row>
    <row r="56" spans="1:16" ht="11.6">
      <c r="A56" s="621" t="s">
        <v>243</v>
      </c>
      <c r="B56" s="622">
        <v>10.413260087999998</v>
      </c>
      <c r="C56" s="433">
        <f>B56*3.2808399</f>
        <v>34.164239185787906</v>
      </c>
      <c r="D56" s="396"/>
      <c r="E56" s="310">
        <f>B56*$E$17/$B$17</f>
        <v>241.49489999999994</v>
      </c>
      <c r="F56" s="310"/>
      <c r="G56" s="310"/>
      <c r="H56" s="150"/>
      <c r="I56" s="119"/>
      <c r="J56" s="25"/>
      <c r="K56" s="25"/>
      <c r="L56" s="20"/>
      <c r="M56" s="256"/>
      <c r="N56" s="256"/>
      <c r="O56" s="256"/>
      <c r="P56" s="256"/>
    </row>
    <row r="57" spans="1:16" ht="12.45" hidden="1">
      <c r="A57" s="12"/>
      <c r="B57" s="20"/>
      <c r="C57" s="435"/>
      <c r="D57" s="20"/>
      <c r="E57" s="20"/>
      <c r="F57" s="339"/>
      <c r="G57" s="437"/>
      <c r="H57" s="438"/>
      <c r="I57" s="89"/>
      <c r="J57" s="439"/>
      <c r="K57" s="20"/>
      <c r="L57" s="20"/>
      <c r="M57" s="256"/>
      <c r="N57" s="256"/>
      <c r="O57" s="256"/>
      <c r="P57" s="256"/>
    </row>
    <row r="58" spans="1:16" s="264" customFormat="1" ht="5.15">
      <c r="A58" s="5"/>
      <c r="B58" s="5"/>
      <c r="C58" s="440"/>
      <c r="D58" s="5"/>
      <c r="E58" s="5"/>
      <c r="F58" s="441"/>
      <c r="G58" s="442"/>
      <c r="H58" s="443"/>
      <c r="I58" s="444"/>
      <c r="J58" s="445"/>
      <c r="K58" s="5"/>
      <c r="L58" s="5"/>
      <c r="M58" s="263"/>
      <c r="N58" s="263"/>
      <c r="O58" s="263"/>
      <c r="P58" s="263"/>
    </row>
    <row r="59" spans="1:16" ht="11.6">
      <c r="A59" s="886" t="s">
        <v>244</v>
      </c>
      <c r="B59" s="887"/>
      <c r="C59" s="25"/>
      <c r="D59" s="25"/>
      <c r="E59" s="461"/>
      <c r="F59" s="257"/>
      <c r="G59" s="310"/>
      <c r="H59" s="339"/>
      <c r="I59" s="447"/>
      <c r="J59" s="25"/>
      <c r="K59" s="448"/>
      <c r="L59" s="20"/>
      <c r="M59" s="256"/>
      <c r="N59" s="256"/>
      <c r="O59" s="256"/>
      <c r="P59" s="256"/>
    </row>
    <row r="60" spans="1:16" ht="11.6">
      <c r="A60" s="449" t="s">
        <v>245</v>
      </c>
      <c r="B60" s="23"/>
      <c r="C60" s="25"/>
      <c r="D60" s="25"/>
      <c r="E60" s="461"/>
      <c r="F60" s="461"/>
      <c r="G60" s="310"/>
      <c r="H60" s="339"/>
      <c r="I60" s="150"/>
      <c r="J60" s="25"/>
      <c r="K60" s="25"/>
      <c r="L60" s="20"/>
      <c r="M60" s="256"/>
      <c r="N60" s="256"/>
      <c r="O60" s="256"/>
      <c r="P60" s="256"/>
    </row>
    <row r="61" spans="1:16" ht="10.75">
      <c r="A61" s="451" t="s">
        <v>246</v>
      </c>
      <c r="B61" s="286"/>
      <c r="C61" s="20"/>
      <c r="D61" s="20"/>
      <c r="E61" s="20"/>
      <c r="F61" s="339"/>
      <c r="G61" s="452"/>
      <c r="H61" s="119"/>
      <c r="I61" s="88"/>
      <c r="J61" s="20"/>
      <c r="K61" s="453"/>
      <c r="L61" s="20"/>
      <c r="M61" s="256"/>
      <c r="N61" s="256"/>
      <c r="O61" s="256"/>
      <c r="P61" s="256"/>
    </row>
    <row r="62" spans="1:16" ht="10.75">
      <c r="A62" s="451" t="s">
        <v>247</v>
      </c>
      <c r="B62" s="286"/>
      <c r="C62" s="20"/>
      <c r="D62" s="20"/>
      <c r="E62" s="20"/>
      <c r="F62" s="339"/>
      <c r="G62" s="452"/>
      <c r="H62" s="119"/>
      <c r="I62" s="119"/>
      <c r="J62" s="20"/>
      <c r="K62" s="453"/>
      <c r="L62" s="20"/>
      <c r="M62" s="256"/>
      <c r="N62" s="256"/>
      <c r="O62" s="256"/>
      <c r="P62" s="256"/>
    </row>
    <row r="63" spans="1:16" s="264" customFormat="1" ht="5.15">
      <c r="A63" s="454"/>
      <c r="B63" s="5"/>
      <c r="C63" s="5"/>
      <c r="D63" s="5"/>
      <c r="E63" s="65"/>
      <c r="F63" s="455"/>
      <c r="G63" s="456"/>
      <c r="H63" s="142"/>
      <c r="I63" s="142"/>
      <c r="J63" s="5"/>
      <c r="K63" s="457"/>
      <c r="L63" s="5"/>
      <c r="M63" s="263"/>
      <c r="N63" s="263"/>
      <c r="O63" s="263"/>
      <c r="P63" s="263"/>
    </row>
    <row r="64" spans="1:16" ht="11.6">
      <c r="A64" s="458" t="s">
        <v>248</v>
      </c>
      <c r="B64" s="25"/>
      <c r="C64" s="25"/>
      <c r="D64" s="25"/>
      <c r="E64" s="20"/>
      <c r="F64" s="339"/>
      <c r="G64" s="452"/>
      <c r="H64" s="119"/>
      <c r="I64" s="119"/>
      <c r="J64" s="20"/>
      <c r="K64" s="20"/>
      <c r="L64" s="20"/>
      <c r="M64" s="256"/>
      <c r="N64" s="256"/>
      <c r="O64" s="256"/>
      <c r="P64" s="256"/>
    </row>
    <row r="65" spans="1:16" ht="11.6">
      <c r="A65" s="459" t="s">
        <v>249</v>
      </c>
      <c r="B65" s="459"/>
      <c r="C65" s="25"/>
      <c r="D65" s="25"/>
      <c r="E65" s="25"/>
      <c r="F65" s="310"/>
      <c r="G65" s="450"/>
      <c r="H65" s="150"/>
      <c r="I65" s="150"/>
      <c r="J65" s="25"/>
      <c r="K65" s="25"/>
      <c r="L65" s="20"/>
      <c r="M65" s="256"/>
      <c r="N65" s="256"/>
      <c r="O65" s="256"/>
      <c r="P65" s="256"/>
    </row>
    <row r="66" spans="1:16" ht="11.6">
      <c r="A66" s="460" t="s">
        <v>250</v>
      </c>
      <c r="B66" s="461"/>
      <c r="C66" s="25"/>
      <c r="D66" s="25"/>
      <c r="E66" s="25"/>
      <c r="F66" s="310"/>
      <c r="G66" s="450"/>
      <c r="H66" s="150"/>
      <c r="I66" s="150"/>
      <c r="J66" s="25"/>
      <c r="K66" s="25"/>
      <c r="L66" s="20"/>
      <c r="M66" s="256"/>
      <c r="N66" s="256"/>
      <c r="O66" s="256"/>
      <c r="P66" s="256"/>
    </row>
    <row r="67" spans="1:16" ht="11.6">
      <c r="A67" s="25" t="s">
        <v>251</v>
      </c>
      <c r="B67" s="461"/>
      <c r="C67" s="25"/>
      <c r="D67" s="25"/>
      <c r="E67" s="25"/>
      <c r="F67" s="310"/>
      <c r="G67" s="450"/>
      <c r="H67" s="150"/>
      <c r="I67" s="150"/>
      <c r="J67" s="25"/>
      <c r="K67" s="25"/>
      <c r="L67" s="20"/>
      <c r="M67" s="256"/>
      <c r="N67" s="256"/>
      <c r="O67" s="256"/>
      <c r="P67" s="256"/>
    </row>
    <row r="68" spans="1:16" ht="11.6">
      <c r="A68" s="25" t="s">
        <v>252</v>
      </c>
      <c r="B68" s="25"/>
      <c r="C68" s="25"/>
      <c r="D68" s="25"/>
      <c r="E68" s="25"/>
      <c r="F68" s="310"/>
      <c r="G68" s="450"/>
      <c r="H68" s="150"/>
      <c r="I68" s="150"/>
      <c r="J68" s="25"/>
      <c r="K68" s="25"/>
      <c r="L68" s="20"/>
      <c r="M68" s="256"/>
      <c r="N68" s="256"/>
      <c r="O68" s="256"/>
      <c r="P68" s="256"/>
    </row>
    <row r="69" spans="1:16" ht="13.3">
      <c r="A69" s="25" t="s">
        <v>253</v>
      </c>
      <c r="B69" s="462">
        <f>(B17^2+B19^2)^0.5</f>
        <v>11.176354504041109</v>
      </c>
      <c r="C69" s="462">
        <f>(C17^2+C19^2)^0.5</f>
        <v>36.667829793402781</v>
      </c>
      <c r="D69" s="463" t="s">
        <v>254</v>
      </c>
      <c r="E69" s="25"/>
      <c r="F69" s="310"/>
      <c r="G69" s="450"/>
      <c r="H69" s="150"/>
      <c r="I69" s="150"/>
      <c r="J69" s="25"/>
      <c r="K69" s="25"/>
      <c r="L69" s="20"/>
      <c r="M69" s="256"/>
      <c r="N69" s="256"/>
      <c r="O69" s="256"/>
      <c r="P69" s="256"/>
    </row>
    <row r="70" spans="1:16" ht="11.6">
      <c r="A70" s="257"/>
      <c r="B70" s="257"/>
      <c r="C70" s="257"/>
      <c r="D70" s="257"/>
      <c r="E70" s="25"/>
      <c r="F70" s="310"/>
      <c r="G70" s="450"/>
      <c r="H70" s="150"/>
      <c r="I70" s="150"/>
      <c r="J70" s="25"/>
      <c r="K70" s="464"/>
      <c r="L70" s="20"/>
      <c r="M70" s="256"/>
      <c r="N70" s="256"/>
      <c r="O70" s="256"/>
      <c r="P70" s="256"/>
    </row>
    <row r="71" spans="1:16">
      <c r="M71" s="466"/>
    </row>
  </sheetData>
  <mergeCells count="2">
    <mergeCell ref="H25:J25"/>
    <mergeCell ref="A59:B59"/>
  </mergeCells>
  <printOptions horizontalCentered="1"/>
  <pageMargins left="0.47244094488188981" right="0.47244094488188981" top="0.51181102362204722" bottom="0.47244094488188981" header="0.31496062992125984" footer="0.31496062992125984"/>
  <pageSetup scale="81" orientation="portrait" r:id="rId1"/>
  <headerFooter>
    <oddFooter>&amp;L&amp;"Arial,Regular"&amp;8workbook:&amp;9 &amp;F&amp;8
worksheet: &amp;9&amp;A&amp;R&amp;"Arial,Regular"&amp;9slackwater_sf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0"/>
  <sheetViews>
    <sheetView workbookViewId="0">
      <selection activeCell="B15" sqref="B15:D18"/>
    </sheetView>
  </sheetViews>
  <sheetFormatPr defaultColWidth="9.15234375" defaultRowHeight="14.6"/>
  <cols>
    <col min="1" max="1" width="36.84375" style="472" customWidth="1"/>
    <col min="2" max="4" width="9.15234375" style="472"/>
    <col min="5" max="5" width="9.15234375" style="472" hidden="1" customWidth="1"/>
    <col min="6" max="10" width="9.15234375" style="533" hidden="1" customWidth="1"/>
    <col min="11" max="11" width="9.15234375" style="472" customWidth="1"/>
    <col min="12" max="16384" width="9.15234375" style="472"/>
  </cols>
  <sheetData>
    <row r="1" spans="1:15" ht="20.6">
      <c r="A1" s="916" t="s">
        <v>497</v>
      </c>
      <c r="B1" s="917"/>
      <c r="C1" s="918"/>
      <c r="D1" s="185"/>
      <c r="E1" s="185"/>
      <c r="F1" s="470"/>
      <c r="G1" s="470"/>
      <c r="H1" s="470"/>
      <c r="I1" s="470"/>
      <c r="J1" s="470"/>
      <c r="K1" s="185"/>
      <c r="L1" s="185"/>
      <c r="M1" s="185"/>
      <c r="N1" s="185"/>
      <c r="O1" s="185"/>
    </row>
    <row r="2" spans="1:15" ht="17.600000000000001">
      <c r="A2" s="919" t="s">
        <v>498</v>
      </c>
      <c r="B2" s="920"/>
      <c r="C2" s="921"/>
      <c r="D2" s="185"/>
      <c r="E2" s="185"/>
      <c r="F2" s="470"/>
      <c r="G2" s="470"/>
      <c r="H2" s="470"/>
      <c r="I2" s="470"/>
      <c r="J2" s="470"/>
      <c r="K2" s="185"/>
      <c r="L2" s="185"/>
      <c r="M2" s="185"/>
      <c r="N2" s="185"/>
      <c r="O2" s="185"/>
    </row>
    <row r="3" spans="1:15">
      <c r="A3" s="922" t="s">
        <v>499</v>
      </c>
      <c r="B3" s="922"/>
      <c r="C3" s="923"/>
      <c r="D3" s="921"/>
      <c r="E3" s="185"/>
      <c r="F3" s="470"/>
      <c r="G3" s="470"/>
      <c r="H3" s="470"/>
      <c r="I3" s="470"/>
      <c r="J3" s="470"/>
      <c r="K3" s="185"/>
      <c r="L3" s="185"/>
      <c r="M3" s="185"/>
      <c r="N3" s="185"/>
      <c r="O3" s="185"/>
    </row>
    <row r="4" spans="1:15">
      <c r="A4" s="888" t="s">
        <v>500</v>
      </c>
      <c r="B4" s="888"/>
      <c r="C4" s="889"/>
      <c r="D4" s="889"/>
      <c r="E4" s="185"/>
      <c r="F4" s="470"/>
      <c r="G4" s="470"/>
      <c r="H4" s="470"/>
      <c r="I4" s="470"/>
      <c r="J4" s="470"/>
      <c r="K4" s="185"/>
      <c r="L4" s="185"/>
      <c r="M4" s="185"/>
      <c r="N4" s="185"/>
      <c r="O4" s="185"/>
    </row>
    <row r="5" spans="1:15">
      <c r="A5" s="888" t="s">
        <v>501</v>
      </c>
      <c r="B5" s="888"/>
      <c r="C5" s="889"/>
      <c r="D5" s="889"/>
      <c r="E5" s="185"/>
      <c r="F5" s="470"/>
      <c r="G5" s="470"/>
      <c r="H5" s="470"/>
      <c r="I5" s="470"/>
      <c r="J5" s="470"/>
      <c r="K5" s="185"/>
      <c r="L5" s="185"/>
      <c r="M5" s="185"/>
      <c r="N5" s="185"/>
      <c r="O5" s="185"/>
    </row>
    <row r="6" spans="1:15">
      <c r="A6" s="719"/>
      <c r="B6" s="719"/>
      <c r="C6" s="477"/>
      <c r="D6" s="478"/>
      <c r="E6" s="185"/>
      <c r="F6" s="470"/>
      <c r="G6" s="470"/>
      <c r="H6" s="470"/>
      <c r="I6" s="470"/>
      <c r="J6" s="470"/>
      <c r="K6" s="185"/>
      <c r="L6" s="185"/>
      <c r="M6" s="185"/>
      <c r="N6" s="185"/>
      <c r="O6" s="185"/>
    </row>
    <row r="7" spans="1:15" ht="17.600000000000001">
      <c r="A7" s="720" t="s">
        <v>502</v>
      </c>
      <c r="B7" s="70" t="s">
        <v>263</v>
      </c>
      <c r="C7" s="526" t="s">
        <v>27</v>
      </c>
      <c r="D7" s="478"/>
      <c r="E7" s="185"/>
      <c r="F7" s="470"/>
      <c r="G7" s="470"/>
      <c r="H7" s="470"/>
      <c r="I7" s="470"/>
      <c r="J7" s="470"/>
      <c r="K7" s="185"/>
      <c r="L7" s="185"/>
      <c r="M7" s="185"/>
      <c r="N7" s="185"/>
      <c r="O7" s="185"/>
    </row>
    <row r="8" spans="1:15" ht="15.45">
      <c r="A8" s="721" t="s">
        <v>503</v>
      </c>
      <c r="B8" s="722">
        <f>0.1125*B9*(1.445*B10+2*B15+2*B14+1.5*B13+B12+0.5*B11)+((2/3)*B16*B17)</f>
        <v>268.63685478751802</v>
      </c>
      <c r="C8" s="723">
        <f>0.1125*C9*(1.445*C10+2*C15+2*C14+1.5*C13+C12+0.5*C11)+((2/3)*C16*C17)</f>
        <v>24.95718038992915</v>
      </c>
      <c r="D8" s="478"/>
      <c r="E8" s="185"/>
      <c r="F8" s="470"/>
      <c r="G8" s="470"/>
      <c r="H8" s="470"/>
      <c r="I8" s="470"/>
      <c r="J8" s="470"/>
      <c r="K8" s="185"/>
      <c r="L8" s="185"/>
      <c r="M8" s="185"/>
      <c r="N8" s="185"/>
      <c r="O8" s="185"/>
    </row>
    <row r="9" spans="1:15">
      <c r="A9" s="12" t="s">
        <v>504</v>
      </c>
      <c r="B9" s="86">
        <f>C9*3.2808399</f>
        <v>34.284776954999998</v>
      </c>
      <c r="C9" s="724">
        <v>10.45</v>
      </c>
      <c r="D9" s="478"/>
      <c r="E9" s="185"/>
      <c r="F9" s="470"/>
      <c r="G9" s="470"/>
      <c r="H9" s="470"/>
      <c r="I9" s="470"/>
      <c r="J9" s="470"/>
      <c r="K9" s="185"/>
      <c r="L9" s="185"/>
      <c r="M9" s="185"/>
      <c r="N9" s="185"/>
      <c r="O9" s="185"/>
    </row>
    <row r="10" spans="1:15">
      <c r="A10" s="12" t="s">
        <v>505</v>
      </c>
      <c r="B10" s="409">
        <f t="shared" ref="B10:B17" si="0">C10*3.2808399</f>
        <v>12.007874034</v>
      </c>
      <c r="C10" s="505">
        <v>3.66</v>
      </c>
      <c r="D10" s="478"/>
      <c r="E10" s="185"/>
      <c r="F10" s="470"/>
      <c r="G10" s="470"/>
      <c r="H10" s="470"/>
      <c r="I10" s="470"/>
      <c r="J10" s="470"/>
      <c r="K10" s="185"/>
      <c r="L10" s="185"/>
      <c r="M10" s="185"/>
      <c r="N10" s="185"/>
      <c r="O10" s="185"/>
    </row>
    <row r="11" spans="1:15">
      <c r="A11" s="12" t="s">
        <v>506</v>
      </c>
      <c r="B11" s="409">
        <f t="shared" si="0"/>
        <v>0.32808399000000005</v>
      </c>
      <c r="C11" s="505">
        <v>0.1</v>
      </c>
      <c r="D11" s="478"/>
      <c r="E11" s="185"/>
      <c r="F11" s="470"/>
      <c r="G11" s="470"/>
      <c r="H11" s="470"/>
      <c r="I11" s="470"/>
      <c r="J11" s="470"/>
      <c r="K11" s="185"/>
      <c r="L11" s="185"/>
      <c r="M11" s="185"/>
      <c r="N11" s="185"/>
      <c r="O11" s="185"/>
    </row>
    <row r="12" spans="1:15">
      <c r="A12" s="12" t="s">
        <v>507</v>
      </c>
      <c r="B12" s="725">
        <f t="shared" si="0"/>
        <v>2.8231627339500003</v>
      </c>
      <c r="C12" s="726">
        <v>0.86050000000000004</v>
      </c>
      <c r="D12" s="478"/>
      <c r="E12" s="185"/>
      <c r="F12" s="470"/>
      <c r="G12" s="470"/>
      <c r="H12" s="470"/>
      <c r="I12" s="470"/>
      <c r="J12" s="470"/>
      <c r="K12" s="185"/>
      <c r="L12" s="185"/>
      <c r="M12" s="185"/>
      <c r="N12" s="185"/>
      <c r="O12" s="185"/>
    </row>
    <row r="13" spans="1:15">
      <c r="A13" s="12" t="s">
        <v>508</v>
      </c>
      <c r="B13" s="725">
        <f t="shared" si="0"/>
        <v>5.2526246799000003</v>
      </c>
      <c r="C13" s="726">
        <v>1.601</v>
      </c>
      <c r="D13" s="478"/>
      <c r="E13" s="185"/>
      <c r="F13" s="470"/>
      <c r="G13" s="470"/>
      <c r="H13" s="470"/>
      <c r="I13" s="470"/>
      <c r="J13" s="470"/>
      <c r="K13" s="185"/>
      <c r="L13" s="185"/>
      <c r="M13" s="185"/>
      <c r="N13" s="185"/>
      <c r="O13" s="185"/>
    </row>
    <row r="14" spans="1:15">
      <c r="A14" s="12" t="s">
        <v>509</v>
      </c>
      <c r="B14" s="624">
        <f t="shared" si="0"/>
        <v>8.6909448951000012</v>
      </c>
      <c r="C14" s="726">
        <v>2.649</v>
      </c>
      <c r="D14" s="478"/>
      <c r="E14" s="185"/>
      <c r="F14" s="470"/>
      <c r="G14" s="470"/>
      <c r="H14" s="470"/>
      <c r="I14" s="470"/>
      <c r="J14" s="470"/>
      <c r="K14" s="185"/>
      <c r="L14" s="185"/>
      <c r="M14" s="185"/>
      <c r="N14" s="185"/>
      <c r="O14" s="185"/>
    </row>
    <row r="15" spans="1:15">
      <c r="A15" s="12" t="s">
        <v>510</v>
      </c>
      <c r="B15" s="624">
        <f t="shared" si="0"/>
        <v>11.272965896400001</v>
      </c>
      <c r="C15" s="726">
        <v>3.4359999999999999</v>
      </c>
      <c r="D15" s="478"/>
      <c r="E15" s="185"/>
      <c r="F15" s="470"/>
      <c r="G15" s="470"/>
      <c r="H15" s="470"/>
      <c r="I15" s="470"/>
      <c r="J15" s="470"/>
      <c r="K15" s="493"/>
      <c r="L15" s="185"/>
      <c r="M15" s="185"/>
      <c r="N15" s="185"/>
      <c r="O15" s="185"/>
    </row>
    <row r="16" spans="1:15">
      <c r="A16" s="12" t="s">
        <v>234</v>
      </c>
      <c r="B16" s="727">
        <f t="shared" si="0"/>
        <v>13.379265112200002</v>
      </c>
      <c r="C16" s="728">
        <v>4.0780000000000003</v>
      </c>
      <c r="D16" s="478"/>
      <c r="E16" s="185"/>
      <c r="F16" s="470"/>
      <c r="G16" s="470"/>
      <c r="H16" s="470"/>
      <c r="I16" s="470"/>
      <c r="J16" s="470"/>
      <c r="K16" s="185"/>
      <c r="L16" s="185"/>
      <c r="M16" s="185"/>
      <c r="N16" s="185"/>
      <c r="O16" s="185"/>
    </row>
    <row r="17" spans="1:15">
      <c r="A17" s="20" t="s">
        <v>511</v>
      </c>
      <c r="B17" s="727">
        <f t="shared" si="0"/>
        <v>0.65000478277894747</v>
      </c>
      <c r="C17" s="728">
        <v>0.19812145748987856</v>
      </c>
      <c r="D17" s="478"/>
      <c r="E17" s="185"/>
      <c r="F17" s="470"/>
      <c r="G17" s="470"/>
      <c r="H17" s="470"/>
      <c r="I17" s="470"/>
      <c r="J17" s="470"/>
      <c r="K17" s="185"/>
      <c r="L17" s="185"/>
      <c r="M17" s="185"/>
      <c r="N17" s="185"/>
      <c r="O17" s="185"/>
    </row>
    <row r="18" spans="1:15" s="502" customFormat="1" ht="10.75">
      <c r="A18" s="48" t="s">
        <v>275</v>
      </c>
      <c r="B18" s="499"/>
      <c r="C18" s="499"/>
      <c r="D18" s="499"/>
      <c r="E18" s="499"/>
      <c r="F18" s="500"/>
      <c r="G18" s="500"/>
      <c r="H18" s="500"/>
      <c r="I18" s="500"/>
      <c r="J18" s="500"/>
      <c r="K18" s="499"/>
      <c r="L18" s="499"/>
      <c r="M18" s="499"/>
      <c r="N18" s="499"/>
      <c r="O18" s="499"/>
    </row>
    <row r="19" spans="1:15" s="502" customFormat="1" ht="10.75">
      <c r="A19" s="499"/>
      <c r="B19" s="499"/>
      <c r="C19" s="499"/>
      <c r="D19" s="499"/>
      <c r="E19" s="499"/>
      <c r="F19" s="500"/>
      <c r="G19" s="500"/>
      <c r="H19" s="500"/>
      <c r="I19" s="500"/>
      <c r="J19" s="500"/>
      <c r="K19" s="499"/>
      <c r="L19" s="499"/>
      <c r="M19" s="499"/>
      <c r="N19" s="499"/>
      <c r="O19" s="499"/>
    </row>
    <row r="20" spans="1:15" ht="15.45">
      <c r="A20" s="729" t="s">
        <v>512</v>
      </c>
      <c r="B20" s="70" t="s">
        <v>263</v>
      </c>
      <c r="C20" s="526" t="s">
        <v>27</v>
      </c>
      <c r="D20" s="185"/>
      <c r="E20" s="185"/>
      <c r="F20" s="470"/>
      <c r="G20" s="470"/>
      <c r="H20" s="470"/>
      <c r="I20" s="470"/>
      <c r="J20" s="470"/>
      <c r="K20" s="185"/>
      <c r="L20" s="185"/>
      <c r="M20" s="185"/>
      <c r="N20" s="185"/>
      <c r="O20" s="185"/>
    </row>
    <row r="21" spans="1:15" ht="15.45">
      <c r="A21" s="721" t="s">
        <v>503</v>
      </c>
      <c r="B21" s="722">
        <f>0.1125*B22*(1.445*B23+2*B28+2*B27+1.5*B26+B25+0.5*B24)+((2/3)*B29*B30)</f>
        <v>251.17397819237189</v>
      </c>
      <c r="C21" s="723">
        <f>0.1125*C22*(1.445*C23+2*C28+2*C27+1.5*C26+C25+0.5*C24)+((2/3)*C29*C30)</f>
        <v>23.334826072027177</v>
      </c>
      <c r="D21" s="510"/>
      <c r="E21" s="510"/>
      <c r="F21" s="470"/>
      <c r="G21" s="470"/>
      <c r="H21" s="470"/>
      <c r="I21" s="470"/>
      <c r="J21" s="470"/>
      <c r="K21" s="185"/>
      <c r="L21" s="185"/>
      <c r="M21" s="185"/>
      <c r="N21" s="185"/>
      <c r="O21" s="185"/>
    </row>
    <row r="22" spans="1:15">
      <c r="A22" s="12" t="s">
        <v>504</v>
      </c>
      <c r="B22" s="86">
        <f>411.6/12</f>
        <v>34.300000000000004</v>
      </c>
      <c r="C22" s="724">
        <f t="shared" ref="C22:C30" si="1">B22/3.2808399</f>
        <v>10.454639984108947</v>
      </c>
      <c r="D22" s="510"/>
      <c r="E22" s="510"/>
      <c r="F22" s="487">
        <v>260</v>
      </c>
      <c r="G22" s="470"/>
      <c r="H22" s="470"/>
      <c r="I22" s="470"/>
      <c r="J22" s="470"/>
      <c r="K22" s="185"/>
      <c r="L22" s="185"/>
      <c r="M22" s="185"/>
      <c r="N22" s="185"/>
      <c r="O22" s="185"/>
    </row>
    <row r="23" spans="1:15">
      <c r="A23" s="12" t="s">
        <v>505</v>
      </c>
      <c r="B23" s="409">
        <f>144/12</f>
        <v>12</v>
      </c>
      <c r="C23" s="505">
        <f t="shared" si="1"/>
        <v>3.657599994440448</v>
      </c>
      <c r="D23" s="510"/>
      <c r="E23" s="510"/>
      <c r="F23" s="487">
        <f t="shared" ref="F23:F30" si="2">B23*$F$22/$B$22</f>
        <v>90.962099125364418</v>
      </c>
      <c r="G23" s="470"/>
      <c r="H23" s="470"/>
      <c r="I23" s="470"/>
      <c r="J23" s="470"/>
      <c r="K23" s="185"/>
      <c r="L23" s="185"/>
      <c r="M23" s="185"/>
      <c r="N23" s="185"/>
      <c r="O23" s="185"/>
    </row>
    <row r="24" spans="1:15">
      <c r="A24" s="12" t="s">
        <v>506</v>
      </c>
      <c r="B24" s="409">
        <f>2/12</f>
        <v>0.16666666666666666</v>
      </c>
      <c r="C24" s="505">
        <f t="shared" si="1"/>
        <v>5.0799999922783994E-2</v>
      </c>
      <c r="D24" s="510"/>
      <c r="E24" s="510"/>
      <c r="F24" s="487">
        <f t="shared" si="2"/>
        <v>1.2633624878522836</v>
      </c>
      <c r="G24" s="470"/>
      <c r="H24" s="470"/>
      <c r="I24" s="470"/>
      <c r="J24" s="470"/>
      <c r="K24" s="185"/>
      <c r="L24" s="185"/>
      <c r="M24" s="185"/>
      <c r="N24" s="185"/>
      <c r="O24" s="185"/>
    </row>
    <row r="25" spans="1:15">
      <c r="A25" s="12" t="s">
        <v>507</v>
      </c>
      <c r="B25" s="725">
        <f>(B24+B26)/2+D25</f>
        <v>2.75</v>
      </c>
      <c r="C25" s="726">
        <f>B25/3.2808399</f>
        <v>0.83819999872593598</v>
      </c>
      <c r="D25" s="514">
        <f>2/12</f>
        <v>0.16666666666666666</v>
      </c>
      <c r="E25" s="492" t="s">
        <v>513</v>
      </c>
      <c r="F25" s="487">
        <f t="shared" si="2"/>
        <v>20.845481049562679</v>
      </c>
      <c r="G25" s="487">
        <v>58.7393</v>
      </c>
      <c r="H25" s="470">
        <f>G25/2</f>
        <v>29.36965</v>
      </c>
      <c r="I25" s="730">
        <v>-69.226699999999994</v>
      </c>
      <c r="J25" s="730">
        <f>I25+90</f>
        <v>20.773300000000006</v>
      </c>
      <c r="K25" s="185"/>
      <c r="L25" s="185"/>
      <c r="M25" s="185"/>
      <c r="N25" s="185"/>
      <c r="O25" s="185"/>
    </row>
    <row r="26" spans="1:15">
      <c r="A26" s="12" t="s">
        <v>508</v>
      </c>
      <c r="B26" s="725">
        <f>(B27+B24)/2+D26</f>
        <v>5</v>
      </c>
      <c r="C26" s="726">
        <f t="shared" si="1"/>
        <v>1.5239999976835199</v>
      </c>
      <c r="D26" s="514">
        <f>14/12</f>
        <v>1.1666666666666667</v>
      </c>
      <c r="E26" s="492" t="s">
        <v>514</v>
      </c>
      <c r="F26" s="487">
        <f t="shared" si="2"/>
        <v>37.900874635568506</v>
      </c>
      <c r="G26" s="487">
        <v>116.2064</v>
      </c>
      <c r="H26" s="470">
        <f>G26/2</f>
        <v>58.103200000000001</v>
      </c>
      <c r="I26" s="730">
        <v>-77.666200000000003</v>
      </c>
      <c r="J26" s="730">
        <f>I26+90</f>
        <v>12.333799999999997</v>
      </c>
      <c r="K26" s="185"/>
      <c r="L26" s="185"/>
      <c r="M26" s="185"/>
      <c r="N26" s="185"/>
      <c r="O26" s="185"/>
    </row>
    <row r="27" spans="1:15">
      <c r="A27" s="12" t="s">
        <v>509</v>
      </c>
      <c r="B27" s="624">
        <f>90/12</f>
        <v>7.5</v>
      </c>
      <c r="C27" s="726">
        <f t="shared" si="1"/>
        <v>2.28599999652528</v>
      </c>
      <c r="D27" s="514"/>
      <c r="E27" s="492"/>
      <c r="F27" s="487">
        <f t="shared" si="2"/>
        <v>56.851311953352763</v>
      </c>
      <c r="G27" s="487">
        <v>229.67930000000001</v>
      </c>
      <c r="H27" s="470">
        <f>G27/2</f>
        <v>114.83965000000001</v>
      </c>
      <c r="I27" s="730">
        <v>-86.022499999999994</v>
      </c>
      <c r="J27" s="730">
        <f>I27+90</f>
        <v>3.9775000000000063</v>
      </c>
      <c r="K27" s="185"/>
      <c r="L27" s="185"/>
      <c r="M27" s="185"/>
      <c r="N27" s="185"/>
      <c r="O27" s="185"/>
    </row>
    <row r="28" spans="1:15">
      <c r="A28" s="12" t="s">
        <v>510</v>
      </c>
      <c r="B28" s="624">
        <f>(B27+B23)/2+D28</f>
        <v>10.031087769230773</v>
      </c>
      <c r="C28" s="726">
        <f t="shared" si="1"/>
        <v>3.0574755474141764</v>
      </c>
      <c r="D28" s="514">
        <v>0.28108776923077344</v>
      </c>
      <c r="E28" s="492" t="s">
        <v>515</v>
      </c>
      <c r="F28" s="487">
        <f t="shared" si="2"/>
        <v>76.037400000000019</v>
      </c>
      <c r="G28" s="487">
        <v>116.0218</v>
      </c>
      <c r="H28" s="470">
        <f>G28/2</f>
        <v>58.010899999999999</v>
      </c>
      <c r="I28" s="730">
        <v>-94.386099999999999</v>
      </c>
      <c r="J28" s="730">
        <f>I28+90</f>
        <v>-4.386099999999999</v>
      </c>
      <c r="K28" s="185"/>
      <c r="L28" s="185"/>
      <c r="M28" s="185"/>
      <c r="N28" s="185"/>
      <c r="O28" s="185"/>
    </row>
    <row r="29" spans="1:15">
      <c r="A29" s="12" t="s">
        <v>234</v>
      </c>
      <c r="B29" s="727">
        <v>13.64</v>
      </c>
      <c r="C29" s="728">
        <f t="shared" si="1"/>
        <v>4.1574719936806428</v>
      </c>
      <c r="D29" s="510"/>
      <c r="E29" s="510"/>
      <c r="F29" s="487">
        <f t="shared" si="2"/>
        <v>103.3935860058309</v>
      </c>
      <c r="G29" s="470"/>
      <c r="H29" s="470"/>
      <c r="I29" s="730">
        <v>8.9550000000000001</v>
      </c>
      <c r="J29" s="730">
        <f>I29-90</f>
        <v>-81.045000000000002</v>
      </c>
      <c r="K29" s="185"/>
      <c r="L29" s="185"/>
      <c r="M29" s="185"/>
      <c r="N29" s="185"/>
      <c r="O29" s="185"/>
    </row>
    <row r="30" spans="1:15">
      <c r="A30" s="20" t="s">
        <v>516</v>
      </c>
      <c r="B30" s="727">
        <v>1</v>
      </c>
      <c r="C30" s="728">
        <f t="shared" si="1"/>
        <v>0.304799999536704</v>
      </c>
      <c r="D30" s="510"/>
      <c r="E30" s="510"/>
      <c r="F30" s="487">
        <f t="shared" si="2"/>
        <v>7.5801749271137018</v>
      </c>
      <c r="G30" s="470"/>
      <c r="H30" s="470"/>
      <c r="I30" s="470"/>
      <c r="J30" s="470"/>
      <c r="K30" s="185"/>
      <c r="L30" s="185"/>
      <c r="M30" s="185"/>
      <c r="N30" s="185"/>
      <c r="O30" s="185"/>
    </row>
    <row r="31" spans="1:15">
      <c r="A31" s="48" t="s">
        <v>275</v>
      </c>
      <c r="B31" s="185"/>
      <c r="C31" s="185"/>
      <c r="D31" s="185"/>
      <c r="E31" s="185"/>
      <c r="F31" s="470"/>
      <c r="G31" s="470"/>
      <c r="H31" s="470"/>
      <c r="I31" s="470"/>
      <c r="J31" s="470"/>
      <c r="K31" s="185"/>
      <c r="L31" s="185"/>
      <c r="M31" s="185"/>
      <c r="N31" s="185"/>
      <c r="O31" s="185"/>
    </row>
    <row r="32" spans="1:15" s="502" customFormat="1" ht="10.75">
      <c r="A32" s="48"/>
      <c r="B32" s="499"/>
      <c r="C32" s="499"/>
      <c r="D32" s="499"/>
      <c r="E32" s="499"/>
      <c r="F32" s="500"/>
      <c r="G32" s="500"/>
      <c r="H32" s="500"/>
      <c r="I32" s="500"/>
      <c r="J32" s="500"/>
      <c r="K32" s="499"/>
      <c r="L32" s="499"/>
      <c r="M32" s="499"/>
      <c r="N32" s="499"/>
      <c r="O32" s="499"/>
    </row>
    <row r="33" spans="1:15" ht="27" customHeight="1">
      <c r="A33" s="731" t="s">
        <v>517</v>
      </c>
      <c r="B33" s="70" t="s">
        <v>263</v>
      </c>
      <c r="C33" s="526" t="s">
        <v>27</v>
      </c>
      <c r="D33" s="526"/>
      <c r="E33" s="185"/>
      <c r="F33" s="470"/>
      <c r="G33" s="470"/>
      <c r="H33" s="470"/>
      <c r="I33" s="470"/>
      <c r="J33" s="470"/>
      <c r="K33" s="185"/>
      <c r="L33" s="185"/>
      <c r="M33" s="185"/>
      <c r="N33" s="185"/>
      <c r="O33" s="185"/>
    </row>
    <row r="34" spans="1:15" ht="15.45">
      <c r="A34" s="721" t="s">
        <v>503</v>
      </c>
      <c r="B34" s="722">
        <v>218</v>
      </c>
      <c r="C34" s="732">
        <f>B34/10.7639104</f>
        <v>20.252862751440219</v>
      </c>
      <c r="D34" s="528"/>
      <c r="E34" s="185"/>
      <c r="F34" s="470"/>
      <c r="G34" s="470"/>
      <c r="H34" s="470"/>
      <c r="I34" s="470"/>
      <c r="J34" s="470"/>
      <c r="K34" s="185"/>
      <c r="L34" s="185"/>
      <c r="M34" s="185"/>
      <c r="N34" s="185"/>
      <c r="O34" s="185"/>
    </row>
    <row r="35" spans="1:15" s="502" customFormat="1" ht="10.75">
      <c r="A35" s="733"/>
      <c r="B35" s="734"/>
      <c r="C35" s="735"/>
      <c r="D35" s="736"/>
      <c r="E35" s="499"/>
      <c r="F35" s="500"/>
      <c r="G35" s="500"/>
      <c r="H35" s="500"/>
      <c r="I35" s="500"/>
      <c r="J35" s="500"/>
      <c r="K35" s="499"/>
      <c r="L35" s="499"/>
      <c r="M35" s="499"/>
      <c r="N35" s="499"/>
      <c r="O35" s="499"/>
    </row>
    <row r="36" spans="1:15" s="533" customFormat="1" ht="15.45">
      <c r="A36" s="737" t="s">
        <v>518</v>
      </c>
      <c r="B36" s="722">
        <f>B37*B42/2</f>
        <v>205.79996818890788</v>
      </c>
      <c r="C36" s="185"/>
      <c r="D36" s="5"/>
      <c r="E36" s="185"/>
      <c r="F36" s="470"/>
      <c r="G36" s="470"/>
      <c r="H36" s="470"/>
      <c r="I36" s="470"/>
      <c r="J36" s="470"/>
      <c r="K36" s="470"/>
      <c r="L36" s="470"/>
      <c r="M36" s="470"/>
      <c r="N36" s="470"/>
      <c r="O36" s="470"/>
    </row>
    <row r="37" spans="1:15" s="539" customFormat="1" ht="12">
      <c r="A37" s="738" t="s">
        <v>34</v>
      </c>
      <c r="B37" s="86">
        <f>B22</f>
        <v>34.300000000000004</v>
      </c>
      <c r="C37" s="724"/>
      <c r="D37" s="536"/>
      <c r="E37" s="536"/>
      <c r="F37" s="537"/>
      <c r="G37" s="537"/>
      <c r="H37" s="537"/>
      <c r="I37" s="537"/>
      <c r="J37" s="537"/>
      <c r="K37" s="537"/>
      <c r="L37" s="537"/>
      <c r="M37" s="537"/>
      <c r="N37" s="537"/>
      <c r="O37" s="537"/>
    </row>
    <row r="38" spans="1:15" s="539" customFormat="1" ht="12">
      <c r="A38" s="738" t="s">
        <v>519</v>
      </c>
      <c r="B38" s="624">
        <v>30.3</v>
      </c>
      <c r="C38" s="726">
        <f>B38/3.2808399</f>
        <v>9.235439985962131</v>
      </c>
      <c r="D38" s="536"/>
      <c r="E38" s="536"/>
      <c r="F38" s="543">
        <f>B38*$F$22/$B$22</f>
        <v>229.67930029154516</v>
      </c>
      <c r="G38" s="537"/>
      <c r="H38" s="537"/>
      <c r="I38" s="537"/>
      <c r="J38" s="537"/>
      <c r="K38" s="537"/>
      <c r="L38" s="537"/>
      <c r="M38" s="537"/>
      <c r="N38" s="537"/>
      <c r="O38" s="537"/>
    </row>
    <row r="39" spans="1:15" s="539" customFormat="1" ht="12">
      <c r="A39" s="738" t="s">
        <v>215</v>
      </c>
      <c r="B39" s="727">
        <v>13.636652890188731</v>
      </c>
      <c r="C39" s="536"/>
      <c r="D39" s="536"/>
      <c r="E39" s="536"/>
      <c r="F39" s="537"/>
      <c r="G39" s="537"/>
      <c r="H39" s="537"/>
      <c r="I39" s="537"/>
      <c r="J39" s="537"/>
      <c r="K39" s="537"/>
      <c r="L39" s="537"/>
      <c r="M39" s="537"/>
      <c r="N39" s="537"/>
      <c r="O39" s="537"/>
    </row>
    <row r="40" spans="1:15" s="549" customFormat="1" ht="10.75">
      <c r="A40" s="20" t="s">
        <v>43</v>
      </c>
      <c r="B40" s="739">
        <f>(B37+B38+B39)/2</f>
        <v>39.118326445094368</v>
      </c>
      <c r="C40" s="499"/>
      <c r="D40" s="499"/>
      <c r="E40" s="499"/>
      <c r="F40" s="500"/>
      <c r="G40" s="500"/>
      <c r="H40" s="500"/>
      <c r="I40" s="500"/>
      <c r="J40" s="500"/>
      <c r="K40" s="500"/>
      <c r="L40" s="500"/>
      <c r="M40" s="500"/>
      <c r="N40" s="500"/>
      <c r="O40" s="500"/>
    </row>
    <row r="41" spans="1:15" s="549" customFormat="1" ht="10.75">
      <c r="A41" s="20" t="s">
        <v>290</v>
      </c>
      <c r="B41" s="740">
        <f>(B40*(B40-B37)*(B40-B38)*(B40-B39))^0.5</f>
        <v>205.79996818890788</v>
      </c>
      <c r="C41" s="499"/>
      <c r="D41" s="499"/>
      <c r="E41" s="499"/>
      <c r="F41" s="500"/>
      <c r="G41" s="500"/>
      <c r="H41" s="500"/>
      <c r="I41" s="500"/>
      <c r="J41" s="500"/>
      <c r="K41" s="500"/>
      <c r="L41" s="500"/>
      <c r="M41" s="500"/>
      <c r="N41" s="500"/>
      <c r="O41" s="500"/>
    </row>
    <row r="42" spans="1:15" s="549" customFormat="1" ht="12.45">
      <c r="A42" s="12" t="s">
        <v>520</v>
      </c>
      <c r="B42" s="741">
        <f>B41*2/B37</f>
        <v>11.999998145125822</v>
      </c>
      <c r="C42" s="499"/>
      <c r="D42" s="499"/>
      <c r="E42" s="499"/>
      <c r="F42" s="500"/>
      <c r="G42" s="500"/>
      <c r="H42" s="500"/>
      <c r="I42" s="500"/>
      <c r="J42" s="500"/>
      <c r="K42" s="500"/>
      <c r="L42" s="500"/>
      <c r="M42" s="500"/>
      <c r="N42" s="500"/>
      <c r="O42" s="500"/>
    </row>
    <row r="43" spans="1:15" s="533" customFormat="1">
      <c r="A43" s="20"/>
      <c r="B43" s="739"/>
      <c r="C43" s="499"/>
      <c r="D43" s="185"/>
      <c r="E43" s="185"/>
      <c r="F43" s="470"/>
      <c r="G43" s="470"/>
      <c r="H43" s="470"/>
      <c r="I43" s="470"/>
      <c r="J43" s="470"/>
      <c r="K43" s="470"/>
      <c r="L43" s="470"/>
      <c r="M43" s="470"/>
      <c r="N43" s="470"/>
      <c r="O43" s="470"/>
    </row>
    <row r="44" spans="1:15">
      <c r="A44" s="20"/>
      <c r="B44" s="739"/>
      <c r="C44" s="499"/>
      <c r="D44" s="185"/>
      <c r="E44" s="185"/>
      <c r="F44" s="470"/>
      <c r="G44" s="470"/>
      <c r="H44" s="470"/>
      <c r="I44" s="470"/>
      <c r="J44" s="470"/>
      <c r="K44" s="185"/>
      <c r="L44" s="185"/>
      <c r="M44" s="185"/>
      <c r="N44" s="185"/>
      <c r="O44" s="185"/>
    </row>
    <row r="45" spans="1:15" s="533" customFormat="1">
      <c r="A45" s="20" t="s">
        <v>521</v>
      </c>
      <c r="B45" s="253">
        <f>(B8/B36)-1</f>
        <v>0.30532991404999099</v>
      </c>
      <c r="C45" s="470"/>
      <c r="D45" s="470"/>
      <c r="E45" s="185"/>
      <c r="F45" s="470"/>
      <c r="G45" s="470"/>
      <c r="H45" s="470"/>
      <c r="I45" s="470"/>
      <c r="J45" s="470"/>
      <c r="K45" s="470"/>
      <c r="L45" s="470"/>
      <c r="M45" s="470"/>
      <c r="N45" s="470"/>
      <c r="O45" s="470"/>
    </row>
    <row r="46" spans="1:15" s="533" customFormat="1">
      <c r="A46" s="20" t="s">
        <v>522</v>
      </c>
      <c r="B46" s="253">
        <f>(B21/B36)-1</f>
        <v>0.2204762731635328</v>
      </c>
      <c r="E46" s="472"/>
    </row>
    <row r="47" spans="1:15" s="533" customFormat="1">
      <c r="A47" s="20" t="s">
        <v>523</v>
      </c>
      <c r="B47" s="253">
        <f>(B34/B36)-1</f>
        <v>5.9281018935306573E-2</v>
      </c>
      <c r="D47" s="472"/>
      <c r="E47" s="472"/>
    </row>
    <row r="48" spans="1:15" s="533" customFormat="1">
      <c r="D48" s="472"/>
      <c r="E48" s="472"/>
    </row>
    <row r="49" spans="4:5" s="533" customFormat="1">
      <c r="D49" s="472"/>
      <c r="E49" s="472"/>
    </row>
    <row r="50" spans="4:5" s="533" customFormat="1">
      <c r="D50" s="472"/>
      <c r="E50" s="472"/>
    </row>
  </sheetData>
  <mergeCells count="5">
    <mergeCell ref="A1:C1"/>
    <mergeCell ref="A2:C2"/>
    <mergeCell ref="A3:D3"/>
    <mergeCell ref="A4:D4"/>
    <mergeCell ref="A5:D5"/>
  </mergeCells>
  <printOptions horizontalCentered="1" verticalCentered="1"/>
  <pageMargins left="0.51181102362204722" right="0.51181102362204722" top="0.35433070866141736" bottom="0.74803149606299213" header="0.31496062992125984" footer="0.31496062992125984"/>
  <pageSetup scale="92" orientation="portrait" r:id="rId1"/>
  <headerFooter alignWithMargins="0">
    <oddFooter>&amp;L&amp;"Arial,Regular"&amp;8&amp;F
&amp;A&amp;R&amp;"Arial,Regular"&amp;8slackwater_sf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2018_Application_Blank_180107</vt:lpstr>
      <vt:lpstr>Application_Example_Pulse600</vt:lpstr>
      <vt:lpstr>Main_Example_Pulse600_170112</vt:lpstr>
      <vt:lpstr>Jib_Example_Pulse600_170112</vt:lpstr>
      <vt:lpstr>Spin_Example_Pulse600</vt:lpstr>
      <vt:lpstr>Example_WtMeasured_170216</vt:lpstr>
      <vt:lpstr>Main_CF-24MkII_Class_2010</vt:lpstr>
      <vt:lpstr>Main_Example_Diam24_170218</vt:lpstr>
      <vt:lpstr>Jib_Example_North F31R</vt:lpstr>
      <vt:lpstr>Jib_Example_F31R_Headboard</vt:lpstr>
      <vt:lpstr>Mast_Circumference</vt:lpstr>
      <vt:lpstr>Main_Example_Texel</vt:lpstr>
      <vt:lpstr>'2018_Application_Blank_180107'!Print_Area</vt:lpstr>
      <vt:lpstr>Application_Example_Pulse600!Print_Area</vt:lpstr>
      <vt:lpstr>Example_WtMeasured_170216!Print_Area</vt:lpstr>
      <vt:lpstr>'Jib_Example_North F31R'!Print_Area</vt:lpstr>
      <vt:lpstr>Jib_Example_Pulse600_170112!Print_Area</vt:lpstr>
      <vt:lpstr>'Main_CF-24MkII_Class_2010'!Print_Area</vt:lpstr>
      <vt:lpstr>Main_Example_Diam24_170218!Print_Area</vt:lpstr>
      <vt:lpstr>Main_Example_Pulse600_170112!Print_Area</vt:lpstr>
      <vt:lpstr>Main_Example_Texel!Print_Area</vt:lpstr>
      <vt:lpstr>Mast_Circumference!Print_Area</vt:lpstr>
      <vt:lpstr>Spin_Example_Pulse600!Print_Area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slackwater_sf</dc:creator>
  <cp:lastModifiedBy>J Boyette</cp:lastModifiedBy>
  <cp:lastPrinted>2018-01-07T16:33:18Z</cp:lastPrinted>
  <dcterms:created xsi:type="dcterms:W3CDTF">2018-01-07T16:31:59Z</dcterms:created>
  <dcterms:modified xsi:type="dcterms:W3CDTF">2021-02-12T07:01:30Z</dcterms:modified>
</cp:coreProperties>
</file>